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yamtalati/Library/Mobile Documents/com~apple~CloudDocs/Documents - Shyam’s Laptop/School/2025-2026 Year /2 - Winter 26/REMD 375/Week 5/"/>
    </mc:Choice>
  </mc:AlternateContent>
  <xr:revisionPtr revIDLastSave="0" documentId="13_ncr:1_{6A823030-677C-5643-BEFC-3083EDED5296}" xr6:coauthVersionLast="47" xr6:coauthVersionMax="47" xr10:uidLastSave="{00000000-0000-0000-0000-000000000000}"/>
  <bookViews>
    <workbookView xWindow="0" yWindow="780" windowWidth="34200" windowHeight="21460" xr2:uid="{40E27987-3819-9B44-AC8E-518C420578F3}"/>
  </bookViews>
  <sheets>
    <sheet name="Assumptions" sheetId="1" r:id="rId1"/>
    <sheet name="Pro Form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7" i="1"/>
  <c r="C25" i="1"/>
  <c r="C7" i="1"/>
  <c r="C12" i="1" l="1"/>
  <c r="C9" i="1"/>
  <c r="C14" i="1" l="1"/>
  <c r="C19" i="1"/>
  <c r="C20" i="1"/>
  <c r="F5" i="1"/>
  <c r="F20" i="1"/>
  <c r="C7" i="2" s="1"/>
  <c r="F21" i="1"/>
  <c r="Z7" i="2" s="1"/>
  <c r="C21" i="1" l="1"/>
  <c r="F6" i="1"/>
  <c r="F17" i="1"/>
  <c r="F7" i="1"/>
  <c r="F18" i="1"/>
  <c r="AA7" i="2"/>
  <c r="F19" i="1" l="1"/>
  <c r="G8" i="2"/>
  <c r="C8" i="2"/>
  <c r="V8" i="2"/>
  <c r="V10" i="2" s="1"/>
  <c r="R8" i="2"/>
  <c r="N8" i="2"/>
  <c r="L8" i="2"/>
  <c r="J8" i="2"/>
  <c r="F8" i="2"/>
  <c r="X8" i="2"/>
  <c r="X10" i="2" s="1"/>
  <c r="U8" i="2"/>
  <c r="U10" i="2" s="1"/>
  <c r="P8" i="2"/>
  <c r="H8" i="2"/>
  <c r="H10" i="2" s="1"/>
  <c r="E8" i="2"/>
  <c r="Y8" i="2"/>
  <c r="Y10" i="2" s="1"/>
  <c r="W8" i="2"/>
  <c r="T8" i="2"/>
  <c r="Q8" i="2"/>
  <c r="K8" i="2"/>
  <c r="Z8" i="2"/>
  <c r="S8" i="2"/>
  <c r="O8" i="2"/>
  <c r="M8" i="2"/>
  <c r="I8" i="2"/>
  <c r="D8" i="2"/>
  <c r="C9" i="2"/>
  <c r="X9" i="2"/>
  <c r="W9" i="2"/>
  <c r="V9" i="2"/>
  <c r="U9" i="2"/>
  <c r="T9" i="2"/>
  <c r="T10" i="2" s="1"/>
  <c r="S9" i="2"/>
  <c r="S10" i="2" s="1"/>
  <c r="R9" i="2"/>
  <c r="Q9" i="2"/>
  <c r="Q10" i="2" s="1"/>
  <c r="P9" i="2"/>
  <c r="O9" i="2"/>
  <c r="O10" i="2" s="1"/>
  <c r="N9" i="2"/>
  <c r="M9" i="2"/>
  <c r="M10" i="2" s="1"/>
  <c r="L9" i="2"/>
  <c r="L10" i="2" s="1"/>
  <c r="Y9" i="2"/>
  <c r="J9" i="2"/>
  <c r="J10" i="2" s="1"/>
  <c r="H9" i="2"/>
  <c r="G9" i="2"/>
  <c r="F9" i="2"/>
  <c r="D9" i="2"/>
  <c r="D10" i="2" s="1"/>
  <c r="Z9" i="2"/>
  <c r="K9" i="2"/>
  <c r="K10" i="2" s="1"/>
  <c r="I9" i="2"/>
  <c r="E9" i="2"/>
  <c r="F8" i="1"/>
  <c r="C11" i="2" l="1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C10" i="2"/>
  <c r="AA8" i="2"/>
  <c r="F12" i="1"/>
  <c r="F11" i="1"/>
  <c r="W10" i="2"/>
  <c r="Z10" i="2"/>
  <c r="R10" i="2"/>
  <c r="N10" i="2"/>
  <c r="AA9" i="2"/>
  <c r="P10" i="2"/>
  <c r="G10" i="2"/>
  <c r="F10" i="2"/>
  <c r="I10" i="2"/>
  <c r="E10" i="2"/>
  <c r="C14" i="2" l="1"/>
  <c r="C16" i="2" s="1"/>
  <c r="AA10" i="2"/>
  <c r="N11" i="2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F13" i="1"/>
  <c r="C15" i="2" l="1"/>
  <c r="C21" i="2"/>
  <c r="C22" i="2" s="1"/>
  <c r="C23" i="2" s="1"/>
  <c r="D20" i="2" s="1"/>
  <c r="C17" i="2"/>
  <c r="D14" i="2" l="1"/>
  <c r="D15" i="2" s="1"/>
  <c r="E14" i="2" l="1"/>
  <c r="D16" i="2"/>
  <c r="D17" i="2" l="1"/>
  <c r="D21" i="2"/>
  <c r="E16" i="2"/>
  <c r="E15" i="2"/>
  <c r="D22" i="2" l="1"/>
  <c r="D23" i="2" s="1"/>
  <c r="E20" i="2" s="1"/>
  <c r="E22" i="2" s="1"/>
  <c r="E23" i="2" s="1"/>
  <c r="F20" i="2" s="1"/>
  <c r="E21" i="2"/>
  <c r="E17" i="2"/>
  <c r="F14" i="2"/>
  <c r="F15" i="2" s="1"/>
  <c r="G14" i="2" l="1"/>
  <c r="F16" i="2"/>
  <c r="F17" i="2" l="1"/>
  <c r="G17" i="2" s="1"/>
  <c r="F21" i="2"/>
  <c r="F22" i="2" s="1"/>
  <c r="G16" i="2"/>
  <c r="G21" i="2" s="1"/>
  <c r="G15" i="2"/>
  <c r="H14" i="2" s="1"/>
  <c r="F23" i="2" l="1"/>
  <c r="G20" i="2" s="1"/>
  <c r="G22" i="2" s="1"/>
  <c r="H15" i="2"/>
  <c r="H16" i="2"/>
  <c r="I14" i="2" l="1"/>
  <c r="I15" i="2"/>
  <c r="H17" i="2"/>
  <c r="H21" i="2"/>
  <c r="G23" i="2"/>
  <c r="H20" i="2" s="1"/>
  <c r="I16" i="2" l="1"/>
  <c r="J14" i="2"/>
  <c r="J15" i="2"/>
  <c r="K14" i="2" s="1"/>
  <c r="H22" i="2"/>
  <c r="H23" i="2" s="1"/>
  <c r="I20" i="2" s="1"/>
  <c r="I17" i="2" l="1"/>
  <c r="J17" i="2" s="1"/>
  <c r="I21" i="2"/>
  <c r="K16" i="2"/>
  <c r="K15" i="2"/>
  <c r="L14" i="2" s="1"/>
  <c r="J16" i="2"/>
  <c r="J21" i="2" s="1"/>
  <c r="L15" i="2" l="1"/>
  <c r="L16" i="2"/>
  <c r="K17" i="2"/>
  <c r="L17" i="2" s="1"/>
  <c r="I22" i="2"/>
  <c r="I23" i="2"/>
  <c r="J20" i="2" s="1"/>
  <c r="J22" i="2" s="1"/>
  <c r="J23" i="2" s="1"/>
  <c r="K20" i="2" s="1"/>
  <c r="K22" i="2" s="1"/>
  <c r="K23" i="2" s="1"/>
  <c r="L20" i="2" s="1"/>
  <c r="L22" i="2" s="1"/>
  <c r="L23" i="2" s="1"/>
  <c r="M20" i="2" s="1"/>
  <c r="K21" i="2"/>
  <c r="M14" i="2" l="1"/>
  <c r="M15" i="2" s="1"/>
  <c r="N14" i="2" s="1"/>
  <c r="L21" i="2"/>
  <c r="M16" i="2" l="1"/>
  <c r="N15" i="2"/>
  <c r="O14" i="2" s="1"/>
  <c r="N16" i="2"/>
  <c r="N21" i="2" s="1"/>
  <c r="M17" i="2" l="1"/>
  <c r="N17" i="2" s="1"/>
  <c r="M21" i="2"/>
  <c r="M22" i="2" s="1"/>
  <c r="O15" i="2"/>
  <c r="P14" i="2" s="1"/>
  <c r="O16" i="2"/>
  <c r="M23" i="2" l="1"/>
  <c r="N20" i="2" s="1"/>
  <c r="P16" i="2"/>
  <c r="P15" i="2"/>
  <c r="Q14" i="2" s="1"/>
  <c r="O17" i="2"/>
  <c r="P17" i="2" s="1"/>
  <c r="O21" i="2"/>
  <c r="N23" i="2" l="1"/>
  <c r="O20" i="2" s="1"/>
  <c r="O22" i="2" s="1"/>
  <c r="O23" i="2" s="1"/>
  <c r="P20" i="2" s="1"/>
  <c r="P22" i="2" s="1"/>
  <c r="P23" i="2" s="1"/>
  <c r="Q20" i="2" s="1"/>
  <c r="N22" i="2"/>
  <c r="Q16" i="2"/>
  <c r="Q15" i="2"/>
  <c r="P21" i="2"/>
  <c r="Q17" i="2" l="1"/>
  <c r="Q21" i="2"/>
  <c r="Q22" i="2" s="1"/>
  <c r="Q23" i="2" s="1"/>
  <c r="R20" i="2" s="1"/>
  <c r="R14" i="2"/>
  <c r="R15" i="2" s="1"/>
  <c r="S14" i="2" s="1"/>
  <c r="S16" i="2" l="1"/>
  <c r="S21" i="2" s="1"/>
  <c r="S15" i="2"/>
  <c r="T14" i="2" s="1"/>
  <c r="R16" i="2"/>
  <c r="T16" i="2" l="1"/>
  <c r="T15" i="2"/>
  <c r="U14" i="2" s="1"/>
  <c r="R17" i="2"/>
  <c r="S17" i="2" s="1"/>
  <c r="R21" i="2"/>
  <c r="R22" i="2" s="1"/>
  <c r="U16" i="2" l="1"/>
  <c r="U21" i="2" s="1"/>
  <c r="U15" i="2"/>
  <c r="V14" i="2" s="1"/>
  <c r="R23" i="2"/>
  <c r="S20" i="2" s="1"/>
  <c r="S22" i="2" s="1"/>
  <c r="T17" i="2"/>
  <c r="U17" i="2" s="1"/>
  <c r="T21" i="2"/>
  <c r="V16" i="2" l="1"/>
  <c r="V15" i="2"/>
  <c r="S23" i="2"/>
  <c r="T20" i="2" s="1"/>
  <c r="T22" i="2" s="1"/>
  <c r="T23" i="2" s="1"/>
  <c r="U20" i="2" s="1"/>
  <c r="U22" i="2" s="1"/>
  <c r="U23" i="2" s="1"/>
  <c r="V20" i="2" s="1"/>
  <c r="V17" i="2" l="1"/>
  <c r="V21" i="2"/>
  <c r="V22" i="2" s="1"/>
  <c r="W14" i="2"/>
  <c r="W15" i="2" s="1"/>
  <c r="X14" i="2" s="1"/>
  <c r="V23" i="2" l="1"/>
  <c r="W20" i="2" s="1"/>
  <c r="W16" i="2"/>
  <c r="X16" i="2"/>
  <c r="X21" i="2" s="1"/>
  <c r="X15" i="2"/>
  <c r="Y14" i="2" s="1"/>
  <c r="W17" i="2" l="1"/>
  <c r="X17" i="2" s="1"/>
  <c r="Y17" i="2" s="1"/>
  <c r="W21" i="2"/>
  <c r="W22" i="2" s="1"/>
  <c r="Y16" i="2"/>
  <c r="Y15" i="2"/>
  <c r="Z14" i="2" s="1"/>
  <c r="W23" i="2" l="1"/>
  <c r="X20" i="2" s="1"/>
  <c r="X22" i="2" s="1"/>
  <c r="AA14" i="2"/>
  <c r="Z16" i="2"/>
  <c r="Z15" i="2"/>
  <c r="AA15" i="2" s="1"/>
  <c r="Y21" i="2"/>
  <c r="AA16" i="2"/>
  <c r="Z17" i="2" l="1"/>
  <c r="AA17" i="2" s="1"/>
  <c r="Z21" i="2"/>
  <c r="Z22" i="2" s="1"/>
  <c r="X23" i="2"/>
  <c r="Y20" i="2" s="1"/>
  <c r="Y22" i="2" s="1"/>
  <c r="Y23" i="2" s="1"/>
  <c r="Z20" i="2" s="1"/>
  <c r="Z23" i="2" l="1"/>
  <c r="AA22" i="2"/>
  <c r="Z25" i="2" l="1"/>
  <c r="AA23" i="2"/>
  <c r="AA25" i="2" s="1"/>
</calcChain>
</file>

<file path=xl/sharedStrings.xml><?xml version="1.0" encoding="utf-8"?>
<sst xmlns="http://schemas.openxmlformats.org/spreadsheetml/2006/main" count="84" uniqueCount="81">
  <si>
    <t>Part 2 - Construction Loan</t>
  </si>
  <si>
    <t>Site &amp; Building Assumptions</t>
  </si>
  <si>
    <t>Land Size (Acres)</t>
  </si>
  <si>
    <t>Sq Ft per Acre</t>
  </si>
  <si>
    <t>Land Size (Sq Ft)</t>
  </si>
  <si>
    <t>Land Price per Sq Ft</t>
  </si>
  <si>
    <t>Total Land Cost</t>
  </si>
  <si>
    <t>Floor Area Ratio (FAR)</t>
  </si>
  <si>
    <t>Building Gross Sq Ft (GSF)</t>
  </si>
  <si>
    <t>Leasable to Gross Area Ratio</t>
  </si>
  <si>
    <t>Leasable Sq Ft</t>
  </si>
  <si>
    <t>Development Cost Assumptions</t>
  </si>
  <si>
    <t>Hard Cost per GSF</t>
  </si>
  <si>
    <t>Soft Cost per GSF</t>
  </si>
  <si>
    <t>Total Hard Costs</t>
  </si>
  <si>
    <t>Total Soft Costs</t>
  </si>
  <si>
    <t>Total Development Costs</t>
  </si>
  <si>
    <t>Financing Assumptions</t>
  </si>
  <si>
    <t>Construction Period (years)</t>
  </si>
  <si>
    <t>Construction Period (months)</t>
  </si>
  <si>
    <t>Loan-to-Cost (LTC)</t>
  </si>
  <si>
    <t>Equity Percentage</t>
  </si>
  <si>
    <t>Annual Interest Rate</t>
  </si>
  <si>
    <t>Monthly Interest Rate</t>
  </si>
  <si>
    <t>Land Cost Split - Month 1</t>
  </si>
  <si>
    <t>Land Cost Split - Last Month</t>
  </si>
  <si>
    <t>Uses of Funds</t>
  </si>
  <si>
    <t>Land Acquisition</t>
  </si>
  <si>
    <t>Hard Costs</t>
  </si>
  <si>
    <t>Soft Costs</t>
  </si>
  <si>
    <t>Total Uses</t>
  </si>
  <si>
    <t>Sources of Funds</t>
  </si>
  <si>
    <t>Equity (Investors)</t>
  </si>
  <si>
    <t>Debt (Construction Loan)</t>
  </si>
  <si>
    <t xml:space="preserve">Total Sources </t>
  </si>
  <si>
    <t>Monthly Distributions</t>
  </si>
  <si>
    <t>Monthly Hard Costs</t>
  </si>
  <si>
    <t>Monthly Soft Costs</t>
  </si>
  <si>
    <t>Total Hard &amp; Soft Costs</t>
  </si>
  <si>
    <t>Land - Month 1</t>
  </si>
  <si>
    <t>Land - Last Month (24)</t>
  </si>
  <si>
    <t>Pro Forma - Construction Phase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</si>
  <si>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</si>
  <si>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</si>
  <si>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</si>
  <si>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</si>
  <si>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</si>
  <si>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</si>
  <si>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</si>
  <si>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</si>
  <si>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</si>
  <si>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</si>
  <si>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</si>
  <si>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</si>
  <si>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</si>
  <si>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</si>
  <si>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</si>
  <si>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</si>
  <si>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</si>
  <si>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</si>
  <si>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</si>
  <si>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</si>
  <si>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</si>
  <si>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</si>
  <si>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</si>
  <si>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</si>
  <si>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Total</t>
  </si>
  <si>
    <t>USES OF FUNDS</t>
  </si>
  <si>
    <t>Total Monthly Costs</t>
  </si>
  <si>
    <t>Total Costs</t>
  </si>
  <si>
    <t>SOURCES OF FUNDS</t>
  </si>
  <si>
    <t>Equity Draw</t>
  </si>
  <si>
    <t>Total Equity Drawn</t>
  </si>
  <si>
    <t xml:space="preserve">Debt Draw </t>
  </si>
  <si>
    <t>Total Debt Draw</t>
  </si>
  <si>
    <t>CONSTRUCTION LOAN</t>
  </si>
  <si>
    <t>Beginning Loan Balance</t>
  </si>
  <si>
    <t>Add: Debt Draw</t>
  </si>
  <si>
    <t>Add: Capitalized Interest</t>
  </si>
  <si>
    <t>Ending Loan Balance</t>
  </si>
  <si>
    <t>Construction Loan Balance to Refinance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</si>
</sst>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0.0000%"/>
  </numFmts>
  <fonts count="10">
    <font>
      <sz val="12"/>
      <color theme="1"/>
      <name val="TimesNewRomanPSMT"/>
      <family val="2"/>
    </font>
    <font>
      <sz val="12"/>
      <color theme="1"/>
      <name val="TimesNewRomanPSMT"/>
      <family val="2"/>
    </font>
    <font>
      <sz val="12"/>
      <color theme="0"/>
      <name val="TimesNewRomanPSMT"/>
      <family val="2"/>
    </font>
    <font>
      <b/>
      <sz val="14"/>
      <color theme="1"/>
      <name val="TimesNewRomanPSMT"/>
    </font>
    <font>
      <b/>
      <sz val="12"/>
      <color theme="1"/>
      <name val="TimesNewRomanPSMT"/>
    </font>
    <font>
      <sz val="12"/>
      <color rgb="FF0070C0"/>
      <name val="TimesNewRomanPSMT"/>
      <family val="2"/>
    </font>
    <font>
      <b/>
      <sz val="12"/>
      <color theme="0"/>
      <name val="TimesNewRomanPSMT"/>
    </font>
    <font>
      <sz val="12"/>
      <color theme="0"/>
      <name val="TimesNewRomanPSMT"/>
    </font>
    <font>
      <sz val="8"/>
      <name val="TimesNewRomanPSMT"/>
      <family val="2"/>
    </font>
    <font>
      <sz val="12"/>
      <color theme="7"/>
      <name val="TimesNewRomanPSMT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164" fontId="0" fillId="0" borderId="0" xfId="0" applyNumberFormat="1"/>
    <xf numFmtId="1" fontId="5" fillId="0" borderId="0" xfId="1" applyNumberFormat="1" applyFont="1"/>
    <xf numFmtId="164" fontId="5" fillId="0" borderId="0" xfId="0" applyNumberFormat="1" applyFont="1"/>
    <xf numFmtId="1" fontId="0" fillId="0" borderId="0" xfId="0" applyNumberFormat="1"/>
    <xf numFmtId="3" fontId="5" fillId="0" borderId="0" xfId="1" applyNumberFormat="1" applyFont="1"/>
    <xf numFmtId="3" fontId="0" fillId="0" borderId="0" xfId="0" applyNumberFormat="1"/>
    <xf numFmtId="1" fontId="5" fillId="0" borderId="0" xfId="0" applyNumberFormat="1" applyFont="1"/>
    <xf numFmtId="10" fontId="0" fillId="0" borderId="0" xfId="2" applyNumberFormat="1" applyFont="1"/>
    <xf numFmtId="10" fontId="5" fillId="0" borderId="0" xfId="2" applyNumberFormat="1" applyFont="1"/>
    <xf numFmtId="0" fontId="4" fillId="0" borderId="0" xfId="0" applyFont="1"/>
    <xf numFmtId="164" fontId="4" fillId="0" borderId="1" xfId="0" applyNumberFormat="1" applyFont="1" applyBorder="1"/>
    <xf numFmtId="164" fontId="4" fillId="0" borderId="2" xfId="0" applyNumberFormat="1" applyFont="1" applyBorder="1"/>
    <xf numFmtId="0" fontId="6" fillId="2" borderId="0" xfId="0" applyFont="1" applyFill="1"/>
    <xf numFmtId="0" fontId="7" fillId="2" borderId="0" xfId="0" applyFont="1" applyFill="1"/>
    <xf numFmtId="165" fontId="0" fillId="0" borderId="0" xfId="2" applyNumberFormat="1" applyFont="1"/>
    <xf numFmtId="0" fontId="2" fillId="2" borderId="0" xfId="0" applyFont="1" applyFill="1"/>
    <xf numFmtId="164" fontId="4" fillId="0" borderId="0" xfId="0" applyNumberFormat="1" applyFont="1"/>
    <xf numFmtId="0" fontId="6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164" fontId="9" fillId="0" borderId="0" xfId="0" applyNumberFormat="1" applyFont="1"/>
    <xf numFmtId="0" fontId="4" fillId="3" borderId="2" xfId="0" applyFont="1" applyFill="1" applyBorder="1"/>
    <xf numFmtId="164" fontId="4" fillId="3" borderId="2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5FD2D-B032-4F41-8804-FC3FCC8704D3}">
  <dimension ref="B2:F32"/>
  <sheetViews>
    <sheetView tabSelected="1" workbookViewId="0">
      <selection activeCell="B18" sqref="B18"/>
    </sheetView>
  </sheetViews>
  <sheetFormatPr baseColWidth="10" defaultRowHeight="16"/>
  <cols>
    <col min="1" max="1" width="4.1640625" customWidth="1"/>
    <col min="2" max="2" width="40" customWidth="1"/>
    <col min="3" max="3" width="20" customWidth="1"/>
    <col min="4" max="4" width="4.1640625" customWidth="1"/>
    <col min="5" max="5" width="40" customWidth="1"/>
    <col min="6" max="6" width="20" customWidth="1"/>
  </cols>
  <sheetData>
    <row r="2" spans="2:6" ht="18">
      <c r="B2" s="1" t="s">
        <v>0</v>
      </c>
    </row>
    <row r="4" spans="2:6">
      <c r="B4" s="14" t="s">
        <v>1</v>
      </c>
      <c r="C4" s="15"/>
      <c r="E4" s="14" t="s">
        <v>26</v>
      </c>
      <c r="F4" s="17"/>
    </row>
    <row r="5" spans="2:6">
      <c r="B5" t="s">
        <v>2</v>
      </c>
      <c r="C5" s="3">
        <v>4</v>
      </c>
      <c r="E5" t="s">
        <v>27</v>
      </c>
      <c r="F5" s="2">
        <f>C9</f>
        <v>27878400</v>
      </c>
    </row>
    <row r="6" spans="2:6">
      <c r="B6" t="s">
        <v>3</v>
      </c>
      <c r="C6" s="6">
        <v>43560</v>
      </c>
      <c r="E6" t="s">
        <v>28</v>
      </c>
      <c r="F6" s="2">
        <f>C19</f>
        <v>304920000</v>
      </c>
    </row>
    <row r="7" spans="2:6">
      <c r="B7" t="s">
        <v>4</v>
      </c>
      <c r="C7" s="7">
        <f>C6*C5</f>
        <v>174240</v>
      </c>
      <c r="E7" t="s">
        <v>29</v>
      </c>
      <c r="F7" s="2">
        <f>C20</f>
        <v>156816000</v>
      </c>
    </row>
    <row r="8" spans="2:6" ht="17" thickBot="1">
      <c r="B8" t="s">
        <v>5</v>
      </c>
      <c r="C8" s="4">
        <v>160</v>
      </c>
      <c r="E8" s="11" t="s">
        <v>30</v>
      </c>
      <c r="F8" s="13">
        <f>F5+F6+F7</f>
        <v>489614400</v>
      </c>
    </row>
    <row r="9" spans="2:6" ht="18" thickTop="1" thickBot="1">
      <c r="B9" s="11" t="s">
        <v>6</v>
      </c>
      <c r="C9" s="12">
        <f>C8*C7</f>
        <v>27878400</v>
      </c>
    </row>
    <row r="10" spans="2:6" ht="17" thickTop="1">
      <c r="E10" s="14" t="s">
        <v>31</v>
      </c>
      <c r="F10" s="17"/>
    </row>
    <row r="11" spans="2:6">
      <c r="B11" t="s">
        <v>7</v>
      </c>
      <c r="C11" s="8">
        <v>10</v>
      </c>
      <c r="E11" t="s">
        <v>32</v>
      </c>
      <c r="F11" s="2">
        <f>F8*C27</f>
        <v>146884320.00000003</v>
      </c>
    </row>
    <row r="12" spans="2:6">
      <c r="B12" t="s">
        <v>8</v>
      </c>
      <c r="C12" s="7">
        <f>C7*C11</f>
        <v>1742400</v>
      </c>
      <c r="E12" t="s">
        <v>33</v>
      </c>
      <c r="F12" s="2">
        <f>F8*C26</f>
        <v>342730080</v>
      </c>
    </row>
    <row r="13" spans="2:6" ht="17" thickBot="1">
      <c r="B13" t="s">
        <v>9</v>
      </c>
      <c r="C13" s="10">
        <v>0.9</v>
      </c>
      <c r="E13" s="11" t="s">
        <v>34</v>
      </c>
      <c r="F13" s="13">
        <f>F11+F12</f>
        <v>489614400</v>
      </c>
    </row>
    <row r="14" spans="2:6" ht="17" thickTop="1">
      <c r="B14" t="s">
        <v>10</v>
      </c>
      <c r="C14" s="7">
        <f>C13*C12</f>
        <v>1568160</v>
      </c>
    </row>
    <row r="16" spans="2:6">
      <c r="B16" s="14" t="s">
        <v>11</v>
      </c>
      <c r="C16" s="15"/>
      <c r="E16" s="14" t="s">
        <v>35</v>
      </c>
      <c r="F16" s="17"/>
    </row>
    <row r="17" spans="2:6">
      <c r="B17" t="s">
        <v>12</v>
      </c>
      <c r="C17" s="4">
        <v>175</v>
      </c>
      <c r="E17" t="s">
        <v>36</v>
      </c>
      <c r="F17" s="2">
        <f>C19/C25</f>
        <v>12705000</v>
      </c>
    </row>
    <row r="18" spans="2:6">
      <c r="B18" t="s">
        <v>13</v>
      </c>
      <c r="C18" s="4">
        <v>90</v>
      </c>
      <c r="E18" t="s">
        <v>37</v>
      </c>
      <c r="F18" s="2">
        <f>C20/C25</f>
        <v>6534000</v>
      </c>
    </row>
    <row r="19" spans="2:6">
      <c r="B19" t="s">
        <v>14</v>
      </c>
      <c r="C19" s="2">
        <f>C17*C12</f>
        <v>304920000</v>
      </c>
      <c r="E19" s="11" t="s">
        <v>38</v>
      </c>
      <c r="F19" s="18">
        <f>F17+F18</f>
        <v>19239000</v>
      </c>
    </row>
    <row r="20" spans="2:6">
      <c r="B20" t="s">
        <v>15</v>
      </c>
      <c r="C20" s="2">
        <f>C18*C12</f>
        <v>156816000</v>
      </c>
      <c r="E20" t="s">
        <v>39</v>
      </c>
      <c r="F20" s="2">
        <f>C31*C9</f>
        <v>13939200</v>
      </c>
    </row>
    <row r="21" spans="2:6" ht="17" thickBot="1">
      <c r="B21" s="11" t="s">
        <v>16</v>
      </c>
      <c r="C21" s="13">
        <f>C19+C20+C9</f>
        <v>489614400</v>
      </c>
      <c r="E21" t="s">
        <v>40</v>
      </c>
      <c r="F21" s="2">
        <f>C32*C9</f>
        <v>13939200</v>
      </c>
    </row>
    <row r="22" spans="2:6" ht="17" thickTop="1"/>
    <row r="23" spans="2:6">
      <c r="B23" s="14" t="s">
        <v>17</v>
      </c>
      <c r="C23" s="15"/>
    </row>
    <row r="24" spans="2:6">
      <c r="B24" t="s">
        <v>18</v>
      </c>
      <c r="C24" s="8">
        <v>2</v>
      </c>
    </row>
    <row r="25" spans="2:6">
      <c r="B25" t="s">
        <v>19</v>
      </c>
      <c r="C25" s="5">
        <f>C24*12</f>
        <v>24</v>
      </c>
    </row>
    <row r="26" spans="2:6">
      <c r="B26" t="s">
        <v>20</v>
      </c>
      <c r="C26" s="10">
        <v>0.7</v>
      </c>
    </row>
    <row r="27" spans="2:6">
      <c r="B27" t="s">
        <v>21</v>
      </c>
      <c r="C27" s="9">
        <f>1-C26</f>
        <v>0.30000000000000004</v>
      </c>
    </row>
    <row r="28" spans="2:6">
      <c r="B28" t="s">
        <v>22</v>
      </c>
      <c r="C28" s="10">
        <v>0.05</v>
      </c>
    </row>
    <row r="29" spans="2:6">
      <c r="B29" t="s">
        <v>23</v>
      </c>
      <c r="C29" s="16">
        <f>C28/12</f>
        <v>4.1666666666666666E-3</v>
      </c>
    </row>
    <row r="31" spans="2:6">
      <c r="B31" t="s">
        <v>24</v>
      </c>
      <c r="C31" s="10">
        <v>0.5</v>
      </c>
    </row>
    <row r="32" spans="2:6">
      <c r="B32" t="s">
        <v>25</v>
      </c>
      <c r="C32" s="10"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80A5-39E3-994F-ABDA-FA56A12FB3B9}">
  <dimension ref="B2:AA26"/>
  <sheetViews>
    <sheetView topLeftCell="A4" workbookViewId="0">
      <selection activeCell="B25" sqref="B25"/>
    </sheetView>
  </sheetViews>
  <sheetFormatPr baseColWidth="10" defaultRowHeight="16"/>
  <cols>
    <col min="1" max="1" width="2.5" customWidth="1"/>
    <col min="2" max="2" width="36.5" customWidth="1"/>
    <col min="3" max="27" width="20" customWidth="1"/>
  </cols>
  <sheetData>
    <row r="2" spans="2:27" ht="18">
      <c r="B2" s="1" t="s">
        <v>41</v>
      </c>
    </row>
    <row r="4" spans="2:27">
      <c r="B4" s="17"/>
      <c r="C4" s="19" t="s">
        <v>42</v>
      </c>
      <c r="D4" s="19" t="s">
        <v>43</v>
      </c>
      <c r="E4" s="19" t="s">
        <v>44</v>
      </c>
      <c r="F4" s="19" t="s">
        <v>45</v>
      </c>
      <c r="G4" s="19" t="s">
        <v>46</v>
      </c>
      <c r="H4" s="19" t="s">
        <v>47</v>
      </c>
      <c r="I4" s="19" t="s">
        <v>48</v>
      </c>
      <c r="J4" s="19" t="s">
        <v>49</v>
      </c>
      <c r="K4" s="19" t="s">
        <v>50</v>
      </c>
      <c r="L4" s="19" t="s">
        <v>51</v>
      </c>
      <c r="M4" s="19" t="s">
        <v>52</v>
      </c>
      <c r="N4" s="19" t="s">
        <v>53</v>
      </c>
      <c r="O4" s="19" t="s">
        <v>54</v>
      </c>
      <c r="P4" s="19" t="s">
        <v>55</v>
      </c>
      <c r="Q4" s="19" t="s">
        <v>56</v>
      </c>
      <c r="R4" s="19" t="s">
        <v>57</v>
      </c>
      <c r="S4" s="19" t="s">
        <v>58</v>
      </c>
      <c r="T4" s="19" t="s">
        <v>59</v>
      </c>
      <c r="U4" s="19" t="s">
        <v>60</v>
      </c>
      <c r="V4" s="19" t="s">
        <v>61</v>
      </c>
      <c r="W4" s="19" t="s">
        <v>62</v>
      </c>
      <c r="X4" s="19" t="s">
        <v>63</v>
      </c>
      <c r="Y4" s="19" t="s">
        <v>64</v>
      </c>
      <c r="Z4" s="19" t="s">
        <v>65</v>
      </c>
      <c r="AA4" s="19" t="s">
        <v>66</v>
      </c>
    </row>
    <row r="6" spans="2:27">
      <c r="B6" s="20" t="s">
        <v>67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2:27">
      <c r="B7" t="s">
        <v>27</v>
      </c>
      <c r="C7" s="22">
        <f>Assumptions!F20</f>
        <v>13939200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f>Assumptions!F21</f>
        <v>13939200</v>
      </c>
      <c r="AA7" s="2">
        <f>SUM(C7:Z7)</f>
        <v>27878400</v>
      </c>
    </row>
    <row r="8" spans="2:27">
      <c r="B8" t="s">
        <v>28</v>
      </c>
      <c r="C8" s="22">
        <f>Assumptions!$F$17</f>
        <v>12705000</v>
      </c>
      <c r="D8" s="22">
        <f>Assumptions!$F$17</f>
        <v>12705000</v>
      </c>
      <c r="E8" s="22">
        <f>Assumptions!$F$17</f>
        <v>12705000</v>
      </c>
      <c r="F8" s="22">
        <f>Assumptions!$F$17</f>
        <v>12705000</v>
      </c>
      <c r="G8" s="22">
        <f>Assumptions!$F$17</f>
        <v>12705000</v>
      </c>
      <c r="H8" s="22">
        <f>Assumptions!$F$17</f>
        <v>12705000</v>
      </c>
      <c r="I8" s="22">
        <f>Assumptions!$F$17</f>
        <v>12705000</v>
      </c>
      <c r="J8" s="22">
        <f>Assumptions!$F$17</f>
        <v>12705000</v>
      </c>
      <c r="K8" s="22">
        <f>Assumptions!$F$17</f>
        <v>12705000</v>
      </c>
      <c r="L8" s="22">
        <f>Assumptions!$F$17</f>
        <v>12705000</v>
      </c>
      <c r="M8" s="22">
        <f>Assumptions!$F$17</f>
        <v>12705000</v>
      </c>
      <c r="N8" s="22">
        <f>Assumptions!$F$17</f>
        <v>12705000</v>
      </c>
      <c r="O8" s="22">
        <f>Assumptions!$F$17</f>
        <v>12705000</v>
      </c>
      <c r="P8" s="22">
        <f>Assumptions!$F$17</f>
        <v>12705000</v>
      </c>
      <c r="Q8" s="22">
        <f>Assumptions!$F$17</f>
        <v>12705000</v>
      </c>
      <c r="R8" s="22">
        <f>Assumptions!$F$17</f>
        <v>12705000</v>
      </c>
      <c r="S8" s="22">
        <f>Assumptions!$F$17</f>
        <v>12705000</v>
      </c>
      <c r="T8" s="22">
        <f>Assumptions!$F$17</f>
        <v>12705000</v>
      </c>
      <c r="U8" s="22">
        <f>Assumptions!$F$17</f>
        <v>12705000</v>
      </c>
      <c r="V8" s="22">
        <f>Assumptions!$F$17</f>
        <v>12705000</v>
      </c>
      <c r="W8" s="22">
        <f>Assumptions!$F$17</f>
        <v>12705000</v>
      </c>
      <c r="X8" s="22">
        <f>Assumptions!$F$17</f>
        <v>12705000</v>
      </c>
      <c r="Y8" s="22">
        <f>Assumptions!$F$17</f>
        <v>12705000</v>
      </c>
      <c r="Z8" s="22">
        <f>Assumptions!$F$17</f>
        <v>12705000</v>
      </c>
      <c r="AA8" s="2">
        <f t="shared" ref="AA8:AA10" si="0">SUM(C8:Z8)</f>
        <v>304920000</v>
      </c>
    </row>
    <row r="9" spans="2:27">
      <c r="B9" t="s">
        <v>29</v>
      </c>
      <c r="C9" s="22">
        <f>Assumptions!$F$18</f>
        <v>6534000</v>
      </c>
      <c r="D9" s="22">
        <f>Assumptions!$F$18</f>
        <v>6534000</v>
      </c>
      <c r="E9" s="22">
        <f>Assumptions!$F$18</f>
        <v>6534000</v>
      </c>
      <c r="F9" s="22">
        <f>Assumptions!$F$18</f>
        <v>6534000</v>
      </c>
      <c r="G9" s="22">
        <f>Assumptions!$F$18</f>
        <v>6534000</v>
      </c>
      <c r="H9" s="22">
        <f>Assumptions!$F$18</f>
        <v>6534000</v>
      </c>
      <c r="I9" s="22">
        <f>Assumptions!$F$18</f>
        <v>6534000</v>
      </c>
      <c r="J9" s="22">
        <f>Assumptions!$F$18</f>
        <v>6534000</v>
      </c>
      <c r="K9" s="22">
        <f>Assumptions!$F$18</f>
        <v>6534000</v>
      </c>
      <c r="L9" s="22">
        <f>Assumptions!$F$18</f>
        <v>6534000</v>
      </c>
      <c r="M9" s="22">
        <f>Assumptions!$F$18</f>
        <v>6534000</v>
      </c>
      <c r="N9" s="22">
        <f>Assumptions!$F$18</f>
        <v>6534000</v>
      </c>
      <c r="O9" s="22">
        <f>Assumptions!$F$18</f>
        <v>6534000</v>
      </c>
      <c r="P9" s="22">
        <f>Assumptions!$F$18</f>
        <v>6534000</v>
      </c>
      <c r="Q9" s="22">
        <f>Assumptions!$F$18</f>
        <v>6534000</v>
      </c>
      <c r="R9" s="22">
        <f>Assumptions!$F$18</f>
        <v>6534000</v>
      </c>
      <c r="S9" s="22">
        <f>Assumptions!$F$18</f>
        <v>6534000</v>
      </c>
      <c r="T9" s="22">
        <f>Assumptions!$F$18</f>
        <v>6534000</v>
      </c>
      <c r="U9" s="22">
        <f>Assumptions!$F$18</f>
        <v>6534000</v>
      </c>
      <c r="V9" s="22">
        <f>Assumptions!$F$18</f>
        <v>6534000</v>
      </c>
      <c r="W9" s="22">
        <f>Assumptions!$F$18</f>
        <v>6534000</v>
      </c>
      <c r="X9" s="22">
        <f>Assumptions!$F$18</f>
        <v>6534000</v>
      </c>
      <c r="Y9" s="22">
        <f>Assumptions!$F$18</f>
        <v>6534000</v>
      </c>
      <c r="Z9" s="22">
        <f>Assumptions!$F$18</f>
        <v>6534000</v>
      </c>
      <c r="AA9" s="2">
        <f t="shared" si="0"/>
        <v>156816000</v>
      </c>
    </row>
    <row r="10" spans="2:27">
      <c r="B10" s="11" t="s">
        <v>68</v>
      </c>
      <c r="C10" s="18">
        <f>C8+C9+C7</f>
        <v>33178200</v>
      </c>
      <c r="D10" s="18">
        <f t="shared" ref="D10:Y10" si="1">D8+D9+D7</f>
        <v>19239000</v>
      </c>
      <c r="E10" s="18">
        <f t="shared" si="1"/>
        <v>19239000</v>
      </c>
      <c r="F10" s="18">
        <f t="shared" si="1"/>
        <v>19239000</v>
      </c>
      <c r="G10" s="18">
        <f t="shared" si="1"/>
        <v>19239000</v>
      </c>
      <c r="H10" s="18">
        <f t="shared" si="1"/>
        <v>19239000</v>
      </c>
      <c r="I10" s="18">
        <f t="shared" si="1"/>
        <v>19239000</v>
      </c>
      <c r="J10" s="18">
        <f t="shared" si="1"/>
        <v>19239000</v>
      </c>
      <c r="K10" s="18">
        <f t="shared" si="1"/>
        <v>19239000</v>
      </c>
      <c r="L10" s="18">
        <f t="shared" si="1"/>
        <v>19239000</v>
      </c>
      <c r="M10" s="18">
        <f t="shared" si="1"/>
        <v>19239000</v>
      </c>
      <c r="N10" s="18">
        <f t="shared" si="1"/>
        <v>19239000</v>
      </c>
      <c r="O10" s="18">
        <f t="shared" si="1"/>
        <v>19239000</v>
      </c>
      <c r="P10" s="18">
        <f t="shared" si="1"/>
        <v>19239000</v>
      </c>
      <c r="Q10" s="18">
        <f t="shared" si="1"/>
        <v>19239000</v>
      </c>
      <c r="R10" s="18">
        <f t="shared" si="1"/>
        <v>19239000</v>
      </c>
      <c r="S10" s="18">
        <f t="shared" si="1"/>
        <v>19239000</v>
      </c>
      <c r="T10" s="18">
        <f t="shared" si="1"/>
        <v>19239000</v>
      </c>
      <c r="U10" s="18">
        <f t="shared" si="1"/>
        <v>19239000</v>
      </c>
      <c r="V10" s="18">
        <f t="shared" si="1"/>
        <v>19239000</v>
      </c>
      <c r="W10" s="18">
        <f t="shared" si="1"/>
        <v>19239000</v>
      </c>
      <c r="X10" s="18">
        <f t="shared" si="1"/>
        <v>19239000</v>
      </c>
      <c r="Y10" s="18">
        <f t="shared" si="1"/>
        <v>19239000</v>
      </c>
      <c r="Z10" s="18">
        <f>Z8+Z9+Z7</f>
        <v>33178200</v>
      </c>
      <c r="AA10" s="2">
        <f t="shared" si="0"/>
        <v>489614400</v>
      </c>
    </row>
    <row r="11" spans="2:27" ht="17" thickBot="1">
      <c r="B11" s="11" t="s">
        <v>69</v>
      </c>
      <c r="C11" s="13">
        <f>SUM(C7:C9)</f>
        <v>33178200</v>
      </c>
      <c r="D11" s="13">
        <f>C11+D10</f>
        <v>52417200</v>
      </c>
      <c r="E11" s="13">
        <f t="shared" ref="E11:Z11" si="2">D11+E10</f>
        <v>71656200</v>
      </c>
      <c r="F11" s="13">
        <f t="shared" si="2"/>
        <v>90895200</v>
      </c>
      <c r="G11" s="13">
        <f t="shared" si="2"/>
        <v>110134200</v>
      </c>
      <c r="H11" s="13">
        <f t="shared" si="2"/>
        <v>129373200</v>
      </c>
      <c r="I11" s="13">
        <f t="shared" si="2"/>
        <v>148612200</v>
      </c>
      <c r="J11" s="13">
        <f t="shared" si="2"/>
        <v>167851200</v>
      </c>
      <c r="K11" s="13">
        <f t="shared" si="2"/>
        <v>187090200</v>
      </c>
      <c r="L11" s="13">
        <f t="shared" si="2"/>
        <v>206329200</v>
      </c>
      <c r="M11" s="13">
        <f t="shared" si="2"/>
        <v>225568200</v>
      </c>
      <c r="N11" s="13">
        <f t="shared" si="2"/>
        <v>244807200</v>
      </c>
      <c r="O11" s="13">
        <f t="shared" si="2"/>
        <v>264046200</v>
      </c>
      <c r="P11" s="13">
        <f t="shared" si="2"/>
        <v>283285200</v>
      </c>
      <c r="Q11" s="13">
        <f t="shared" si="2"/>
        <v>302524200</v>
      </c>
      <c r="R11" s="13">
        <f t="shared" si="2"/>
        <v>321763200</v>
      </c>
      <c r="S11" s="13">
        <f t="shared" si="2"/>
        <v>341002200</v>
      </c>
      <c r="T11" s="13">
        <f t="shared" si="2"/>
        <v>360241200</v>
      </c>
      <c r="U11" s="13">
        <f t="shared" si="2"/>
        <v>379480200</v>
      </c>
      <c r="V11" s="13">
        <f t="shared" si="2"/>
        <v>398719200</v>
      </c>
      <c r="W11" s="13">
        <f t="shared" si="2"/>
        <v>417958200</v>
      </c>
      <c r="X11" s="13">
        <f t="shared" si="2"/>
        <v>437197200</v>
      </c>
      <c r="Y11" s="13">
        <f t="shared" si="2"/>
        <v>456436200</v>
      </c>
      <c r="Z11" s="13">
        <f t="shared" si="2"/>
        <v>489614400</v>
      </c>
      <c r="AA11" s="13">
        <f>Z11</f>
        <v>489614400</v>
      </c>
    </row>
    <row r="12" spans="2:27" ht="17" thickTop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>
      <c r="B13" s="20" t="s">
        <v>70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2:27">
      <c r="B14" t="s">
        <v>71</v>
      </c>
      <c r="C14" s="2">
        <f>MIN(C10,Assumptions!F11)</f>
        <v>33178200</v>
      </c>
      <c r="D14" s="2">
        <f>MIN(D10,MAX(Assumptions!$F$11-C15,0))</f>
        <v>19239000</v>
      </c>
      <c r="E14" s="2">
        <f>MIN(E10,MAX(Assumptions!$F$11-D15,0))</f>
        <v>19239000</v>
      </c>
      <c r="F14" s="2">
        <f>MIN(F10,MAX(Assumptions!$F$11-E15,0))</f>
        <v>19239000</v>
      </c>
      <c r="G14" s="2">
        <f>MIN(G10,MAX(Assumptions!$F$11-F15,0))</f>
        <v>19239000</v>
      </c>
      <c r="H14" s="2">
        <f>MIN(H10,MAX(Assumptions!$F$11-G15,0))</f>
        <v>19239000</v>
      </c>
      <c r="I14" s="2">
        <f>MIN(I10,MAX(Assumptions!$F$11-H15,0))</f>
        <v>17511120.00000003</v>
      </c>
      <c r="J14" s="2">
        <f>MIN(J10,MAX(Assumptions!$F$11-I15,0))</f>
        <v>0</v>
      </c>
      <c r="K14" s="2">
        <f>MIN(K10,MAX(Assumptions!$F$11-J15,0))</f>
        <v>0</v>
      </c>
      <c r="L14" s="2">
        <f>MIN(L10,MAX(Assumptions!$F$11-K15,0))</f>
        <v>0</v>
      </c>
      <c r="M14" s="2">
        <f>MIN(M10,MAX(Assumptions!$F$11-L15,0))</f>
        <v>0</v>
      </c>
      <c r="N14" s="2">
        <f>MIN(N10,MAX(Assumptions!$F$11-M15,0))</f>
        <v>0</v>
      </c>
      <c r="O14" s="2">
        <f>MIN(O10,MAX(Assumptions!$F$11-N15,0))</f>
        <v>0</v>
      </c>
      <c r="P14" s="2">
        <f>MIN(P10,MAX(Assumptions!$F$11-O15,0))</f>
        <v>0</v>
      </c>
      <c r="Q14" s="2">
        <f>MIN(Q10,MAX(Assumptions!$F$11-P15,0))</f>
        <v>0</v>
      </c>
      <c r="R14" s="2">
        <f>MIN(R10,MAX(Assumptions!$F$11-Q15,0))</f>
        <v>0</v>
      </c>
      <c r="S14" s="2">
        <f>MIN(S10,MAX(Assumptions!$F$11-R15,0))</f>
        <v>0</v>
      </c>
      <c r="T14" s="2">
        <f>MIN(T10,MAX(Assumptions!$F$11-S15,0))</f>
        <v>0</v>
      </c>
      <c r="U14" s="2">
        <f>MIN(U10,MAX(Assumptions!$F$11-T15,0))</f>
        <v>0</v>
      </c>
      <c r="V14" s="2">
        <f>MIN(V10,MAX(Assumptions!$F$11-U15,0))</f>
        <v>0</v>
      </c>
      <c r="W14" s="2">
        <f>MIN(W10,MAX(Assumptions!$F$11-V15,0))</f>
        <v>0</v>
      </c>
      <c r="X14" s="2">
        <f>MIN(X10,MAX(Assumptions!$F$11-W15,0))</f>
        <v>0</v>
      </c>
      <c r="Y14" s="2">
        <f>MIN(Y10,MAX(Assumptions!$F$11-X15,0))</f>
        <v>0</v>
      </c>
      <c r="Z14" s="2">
        <f>MIN(Z10,MAX(Assumptions!$F$11-Y15,0))</f>
        <v>0</v>
      </c>
      <c r="AA14" s="2">
        <f>SUM(C14:Z14)</f>
        <v>146884320.00000003</v>
      </c>
    </row>
    <row r="15" spans="2:27" s="11" customFormat="1">
      <c r="B15" s="11" t="s">
        <v>72</v>
      </c>
      <c r="C15" s="18">
        <f>C14</f>
        <v>33178200</v>
      </c>
      <c r="D15" s="18">
        <f>C15+D14</f>
        <v>52417200</v>
      </c>
      <c r="E15" s="18">
        <f t="shared" ref="E15:Z15" si="3">D15+E14</f>
        <v>71656200</v>
      </c>
      <c r="F15" s="18">
        <f t="shared" si="3"/>
        <v>90895200</v>
      </c>
      <c r="G15" s="18">
        <f t="shared" si="3"/>
        <v>110134200</v>
      </c>
      <c r="H15" s="18">
        <f t="shared" si="3"/>
        <v>129373200</v>
      </c>
      <c r="I15" s="18">
        <f t="shared" si="3"/>
        <v>146884320.00000003</v>
      </c>
      <c r="J15" s="18">
        <f t="shared" si="3"/>
        <v>146884320.00000003</v>
      </c>
      <c r="K15" s="18">
        <f t="shared" si="3"/>
        <v>146884320.00000003</v>
      </c>
      <c r="L15" s="18">
        <f t="shared" si="3"/>
        <v>146884320.00000003</v>
      </c>
      <c r="M15" s="18">
        <f t="shared" si="3"/>
        <v>146884320.00000003</v>
      </c>
      <c r="N15" s="18">
        <f t="shared" si="3"/>
        <v>146884320.00000003</v>
      </c>
      <c r="O15" s="18">
        <f t="shared" si="3"/>
        <v>146884320.00000003</v>
      </c>
      <c r="P15" s="18">
        <f t="shared" si="3"/>
        <v>146884320.00000003</v>
      </c>
      <c r="Q15" s="18">
        <f t="shared" si="3"/>
        <v>146884320.00000003</v>
      </c>
      <c r="R15" s="18">
        <f t="shared" si="3"/>
        <v>146884320.00000003</v>
      </c>
      <c r="S15" s="18">
        <f t="shared" si="3"/>
        <v>146884320.00000003</v>
      </c>
      <c r="T15" s="18">
        <f t="shared" si="3"/>
        <v>146884320.00000003</v>
      </c>
      <c r="U15" s="18">
        <f t="shared" si="3"/>
        <v>146884320.00000003</v>
      </c>
      <c r="V15" s="18">
        <f t="shared" si="3"/>
        <v>146884320.00000003</v>
      </c>
      <c r="W15" s="18">
        <f t="shared" si="3"/>
        <v>146884320.00000003</v>
      </c>
      <c r="X15" s="18">
        <f t="shared" si="3"/>
        <v>146884320.00000003</v>
      </c>
      <c r="Y15" s="18">
        <f t="shared" si="3"/>
        <v>146884320.00000003</v>
      </c>
      <c r="Z15" s="18">
        <f t="shared" si="3"/>
        <v>146884320.00000003</v>
      </c>
      <c r="AA15" s="2">
        <f>Z15</f>
        <v>146884320.00000003</v>
      </c>
    </row>
    <row r="16" spans="2:27">
      <c r="B16" t="s">
        <v>73</v>
      </c>
      <c r="C16" s="2">
        <f>C10-C14</f>
        <v>0</v>
      </c>
      <c r="D16" s="2">
        <f t="shared" ref="D16:Z16" si="4">D10-D14</f>
        <v>0</v>
      </c>
      <c r="E16" s="2">
        <f t="shared" si="4"/>
        <v>0</v>
      </c>
      <c r="F16" s="2">
        <f t="shared" si="4"/>
        <v>0</v>
      </c>
      <c r="G16" s="2">
        <f t="shared" si="4"/>
        <v>0</v>
      </c>
      <c r="H16" s="2">
        <f t="shared" si="4"/>
        <v>0</v>
      </c>
      <c r="I16" s="2">
        <f t="shared" si="4"/>
        <v>1727879.9999999702</v>
      </c>
      <c r="J16" s="2">
        <f t="shared" si="4"/>
        <v>19239000</v>
      </c>
      <c r="K16" s="2">
        <f t="shared" si="4"/>
        <v>19239000</v>
      </c>
      <c r="L16" s="2">
        <f t="shared" si="4"/>
        <v>19239000</v>
      </c>
      <c r="M16" s="2">
        <f t="shared" si="4"/>
        <v>19239000</v>
      </c>
      <c r="N16" s="2">
        <f t="shared" si="4"/>
        <v>19239000</v>
      </c>
      <c r="O16" s="2">
        <f t="shared" si="4"/>
        <v>19239000</v>
      </c>
      <c r="P16" s="2">
        <f t="shared" si="4"/>
        <v>19239000</v>
      </c>
      <c r="Q16" s="2">
        <f t="shared" si="4"/>
        <v>19239000</v>
      </c>
      <c r="R16" s="2">
        <f t="shared" si="4"/>
        <v>19239000</v>
      </c>
      <c r="S16" s="2">
        <f t="shared" si="4"/>
        <v>19239000</v>
      </c>
      <c r="T16" s="2">
        <f t="shared" si="4"/>
        <v>19239000</v>
      </c>
      <c r="U16" s="2">
        <f t="shared" si="4"/>
        <v>19239000</v>
      </c>
      <c r="V16" s="2">
        <f t="shared" si="4"/>
        <v>19239000</v>
      </c>
      <c r="W16" s="2">
        <f t="shared" si="4"/>
        <v>19239000</v>
      </c>
      <c r="X16" s="2">
        <f t="shared" si="4"/>
        <v>19239000</v>
      </c>
      <c r="Y16" s="2">
        <f t="shared" si="4"/>
        <v>19239000</v>
      </c>
      <c r="Z16" s="2">
        <f t="shared" si="4"/>
        <v>33178200</v>
      </c>
      <c r="AA16" s="2">
        <f t="shared" ref="AA16" si="5">SUM(C16:Z16)</f>
        <v>342730080</v>
      </c>
    </row>
    <row r="17" spans="2:27" s="11" customFormat="1">
      <c r="B17" s="11" t="s">
        <v>74</v>
      </c>
      <c r="C17" s="18">
        <f>C16</f>
        <v>0</v>
      </c>
      <c r="D17" s="18">
        <f>D16+C17</f>
        <v>0</v>
      </c>
      <c r="E17" s="18">
        <f t="shared" ref="E17:Z17" si="6">E16+D17</f>
        <v>0</v>
      </c>
      <c r="F17" s="18">
        <f t="shared" si="6"/>
        <v>0</v>
      </c>
      <c r="G17" s="18">
        <f t="shared" si="6"/>
        <v>0</v>
      </c>
      <c r="H17" s="18">
        <f t="shared" si="6"/>
        <v>0</v>
      </c>
      <c r="I17" s="18">
        <f t="shared" si="6"/>
        <v>1727879.9999999702</v>
      </c>
      <c r="J17" s="18">
        <f t="shared" si="6"/>
        <v>20966879.99999997</v>
      </c>
      <c r="K17" s="18">
        <f t="shared" si="6"/>
        <v>40205879.99999997</v>
      </c>
      <c r="L17" s="18">
        <f t="shared" si="6"/>
        <v>59444879.99999997</v>
      </c>
      <c r="M17" s="18">
        <f t="shared" si="6"/>
        <v>78683879.99999997</v>
      </c>
      <c r="N17" s="18">
        <f t="shared" si="6"/>
        <v>97922879.99999997</v>
      </c>
      <c r="O17" s="18">
        <f t="shared" si="6"/>
        <v>117161879.99999997</v>
      </c>
      <c r="P17" s="18">
        <f t="shared" si="6"/>
        <v>136400879.99999997</v>
      </c>
      <c r="Q17" s="18">
        <f t="shared" si="6"/>
        <v>155639879.99999997</v>
      </c>
      <c r="R17" s="18">
        <f t="shared" si="6"/>
        <v>174878879.99999997</v>
      </c>
      <c r="S17" s="18">
        <f t="shared" si="6"/>
        <v>194117879.99999997</v>
      </c>
      <c r="T17" s="18">
        <f t="shared" si="6"/>
        <v>213356879.99999997</v>
      </c>
      <c r="U17" s="18">
        <f t="shared" si="6"/>
        <v>232595879.99999997</v>
      </c>
      <c r="V17" s="18">
        <f t="shared" si="6"/>
        <v>251834879.99999997</v>
      </c>
      <c r="W17" s="18">
        <f t="shared" si="6"/>
        <v>271073880</v>
      </c>
      <c r="X17" s="18">
        <f t="shared" si="6"/>
        <v>290312880</v>
      </c>
      <c r="Y17" s="18">
        <f t="shared" si="6"/>
        <v>309551880</v>
      </c>
      <c r="Z17" s="18">
        <f t="shared" si="6"/>
        <v>342730080</v>
      </c>
      <c r="AA17" s="2">
        <f>Z17</f>
        <v>342730080</v>
      </c>
    </row>
    <row r="18" spans="2:27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2:27">
      <c r="B19" s="20" t="s">
        <v>75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2:27">
      <c r="B20" t="s">
        <v>76</v>
      </c>
      <c r="C20" s="2">
        <v>0</v>
      </c>
      <c r="D20" s="2">
        <f>C23</f>
        <v>0</v>
      </c>
      <c r="E20" s="2">
        <f t="shared" ref="E20:Z20" si="7">D23</f>
        <v>0</v>
      </c>
      <c r="F20" s="2">
        <f t="shared" si="7"/>
        <v>0</v>
      </c>
      <c r="G20" s="2">
        <f t="shared" si="7"/>
        <v>0</v>
      </c>
      <c r="H20" s="2">
        <f t="shared" si="7"/>
        <v>0</v>
      </c>
      <c r="I20" s="2">
        <f t="shared" si="7"/>
        <v>0</v>
      </c>
      <c r="J20" s="2">
        <f t="shared" si="7"/>
        <v>1735079.49999997</v>
      </c>
      <c r="K20" s="2">
        <f t="shared" si="7"/>
        <v>21061471.497916635</v>
      </c>
      <c r="L20" s="2">
        <f t="shared" si="7"/>
        <v>40468390.12915796</v>
      </c>
      <c r="M20" s="2">
        <f t="shared" si="7"/>
        <v>59956170.921362787</v>
      </c>
      <c r="N20" s="2">
        <f t="shared" si="7"/>
        <v>79525150.800201803</v>
      </c>
      <c r="O20" s="2">
        <f t="shared" si="7"/>
        <v>99175668.09520264</v>
      </c>
      <c r="P20" s="2">
        <f t="shared" si="7"/>
        <v>118908062.54559931</v>
      </c>
      <c r="Q20" s="2">
        <f t="shared" si="7"/>
        <v>138722675.30620599</v>
      </c>
      <c r="R20" s="2">
        <f t="shared" si="7"/>
        <v>158619848.95331517</v>
      </c>
      <c r="S20" s="2">
        <f t="shared" si="7"/>
        <v>178599927.49062064</v>
      </c>
      <c r="T20" s="2">
        <f t="shared" si="7"/>
        <v>198663256.35516489</v>
      </c>
      <c r="U20" s="2">
        <f t="shared" si="7"/>
        <v>218810182.42331141</v>
      </c>
      <c r="V20" s="2">
        <f t="shared" si="7"/>
        <v>239041054.01674187</v>
      </c>
      <c r="W20" s="2">
        <f t="shared" si="7"/>
        <v>259356220.90847829</v>
      </c>
      <c r="X20" s="2">
        <f t="shared" si="7"/>
        <v>279756034.32893026</v>
      </c>
      <c r="Y20" s="2">
        <f t="shared" si="7"/>
        <v>300240846.97196746</v>
      </c>
      <c r="Z20" s="2">
        <f t="shared" si="7"/>
        <v>320811013.00101733</v>
      </c>
      <c r="AA20" s="2"/>
    </row>
    <row r="21" spans="2:27">
      <c r="B21" t="s">
        <v>77</v>
      </c>
      <c r="C21" s="2">
        <f>C16</f>
        <v>0</v>
      </c>
      <c r="D21" s="2">
        <f>D16</f>
        <v>0</v>
      </c>
      <c r="E21" s="2">
        <f t="shared" ref="E21:Z21" si="8">E16</f>
        <v>0</v>
      </c>
      <c r="F21" s="2">
        <f t="shared" si="8"/>
        <v>0</v>
      </c>
      <c r="G21" s="2">
        <f t="shared" si="8"/>
        <v>0</v>
      </c>
      <c r="H21" s="2">
        <f t="shared" si="8"/>
        <v>0</v>
      </c>
      <c r="I21" s="2">
        <f t="shared" si="8"/>
        <v>1727879.9999999702</v>
      </c>
      <c r="J21" s="2">
        <f t="shared" si="8"/>
        <v>19239000</v>
      </c>
      <c r="K21" s="2">
        <f t="shared" si="8"/>
        <v>19239000</v>
      </c>
      <c r="L21" s="2">
        <f t="shared" si="8"/>
        <v>19239000</v>
      </c>
      <c r="M21" s="2">
        <f t="shared" si="8"/>
        <v>19239000</v>
      </c>
      <c r="N21" s="2">
        <f t="shared" si="8"/>
        <v>19239000</v>
      </c>
      <c r="O21" s="2">
        <f t="shared" si="8"/>
        <v>19239000</v>
      </c>
      <c r="P21" s="2">
        <f t="shared" si="8"/>
        <v>19239000</v>
      </c>
      <c r="Q21" s="2">
        <f t="shared" si="8"/>
        <v>19239000</v>
      </c>
      <c r="R21" s="2">
        <f t="shared" si="8"/>
        <v>19239000</v>
      </c>
      <c r="S21" s="2">
        <f t="shared" si="8"/>
        <v>19239000</v>
      </c>
      <c r="T21" s="2">
        <f t="shared" si="8"/>
        <v>19239000</v>
      </c>
      <c r="U21" s="2">
        <f t="shared" si="8"/>
        <v>19239000</v>
      </c>
      <c r="V21" s="2">
        <f t="shared" si="8"/>
        <v>19239000</v>
      </c>
      <c r="W21" s="2">
        <f t="shared" si="8"/>
        <v>19239000</v>
      </c>
      <c r="X21" s="2">
        <f t="shared" si="8"/>
        <v>19239000</v>
      </c>
      <c r="Y21" s="2">
        <f t="shared" si="8"/>
        <v>19239000</v>
      </c>
      <c r="Z21" s="2">
        <f t="shared" si="8"/>
        <v>33178200</v>
      </c>
      <c r="AA21" s="2"/>
    </row>
    <row r="22" spans="2:27">
      <c r="B22" t="s">
        <v>78</v>
      </c>
      <c r="C22" s="2">
        <f>(C20+C21)*Assumptions!$C$29</f>
        <v>0</v>
      </c>
      <c r="D22" s="2">
        <f>(D20+D21)*Assumptions!$C$29</f>
        <v>0</v>
      </c>
      <c r="E22" s="2">
        <f>(E20+E21)*Assumptions!$C$29</f>
        <v>0</v>
      </c>
      <c r="F22" s="2">
        <f>(F20+F21)*Assumptions!$C$29</f>
        <v>0</v>
      </c>
      <c r="G22" s="2">
        <f>(G20+G21)*Assumptions!$C$29</f>
        <v>0</v>
      </c>
      <c r="H22" s="2">
        <f>(H20+H21)*Assumptions!$C$29</f>
        <v>0</v>
      </c>
      <c r="I22" s="2">
        <f>(I20+I21)*Assumptions!$C$29</f>
        <v>7199.4999999998754</v>
      </c>
      <c r="J22" s="2">
        <f>(J20+J21)*Assumptions!$C$29</f>
        <v>87391.997916666543</v>
      </c>
      <c r="K22" s="2">
        <f>(K20+K21)*Assumptions!$C$29</f>
        <v>167918.63124131932</v>
      </c>
      <c r="L22" s="2">
        <f>(L20+L21)*Assumptions!$C$29</f>
        <v>248780.79220482483</v>
      </c>
      <c r="M22" s="2">
        <f>(M20+M21)*Assumptions!$C$29</f>
        <v>329979.8788390116</v>
      </c>
      <c r="N22" s="2">
        <f>(N20+N21)*Assumptions!$C$29</f>
        <v>411517.29500084085</v>
      </c>
      <c r="O22" s="2">
        <f>(O20+O21)*Assumptions!$C$29</f>
        <v>493394.45039667765</v>
      </c>
      <c r="P22" s="2">
        <f>(P20+P21)*Assumptions!$C$29</f>
        <v>575612.76060666377</v>
      </c>
      <c r="Q22" s="2">
        <f>(Q20+Q21)*Assumptions!$C$29</f>
        <v>658173.64710919163</v>
      </c>
      <c r="R22" s="2">
        <f>(R20+R21)*Assumptions!$C$29</f>
        <v>741078.53730547987</v>
      </c>
      <c r="S22" s="2">
        <f>(S20+S21)*Assumptions!$C$29</f>
        <v>824328.86454425263</v>
      </c>
      <c r="T22" s="2">
        <f>(T20+T21)*Assumptions!$C$29</f>
        <v>907926.06814652029</v>
      </c>
      <c r="U22" s="2">
        <f>(U20+U21)*Assumptions!$C$29</f>
        <v>991871.59343046416</v>
      </c>
      <c r="V22" s="2">
        <f>(V20+V21)*Assumptions!$C$29</f>
        <v>1076166.8917364245</v>
      </c>
      <c r="W22" s="2">
        <f>(W20+W21)*Assumptions!$C$29</f>
        <v>1160813.4204519927</v>
      </c>
      <c r="X22" s="2">
        <f>(X20+X21)*Assumptions!$C$29</f>
        <v>1245812.6430372093</v>
      </c>
      <c r="Y22" s="2">
        <f>(Y20+Y21)*Assumptions!$C$29</f>
        <v>1331166.0290498645</v>
      </c>
      <c r="Z22" s="2">
        <f>(Z20+Z21)*Assumptions!$C$29</f>
        <v>1474955.0541709056</v>
      </c>
      <c r="AA22" s="2">
        <f>SUM(C22:Z22)</f>
        <v>12734088.055188309</v>
      </c>
    </row>
    <row r="23" spans="2:27" ht="17" thickBot="1">
      <c r="B23" s="11" t="s">
        <v>79</v>
      </c>
      <c r="C23" s="13">
        <f>C20+C21+C22</f>
        <v>0</v>
      </c>
      <c r="D23" s="13">
        <f t="shared" ref="D23:Z23" si="9">D20+D21+D22</f>
        <v>0</v>
      </c>
      <c r="E23" s="13">
        <f t="shared" si="9"/>
        <v>0</v>
      </c>
      <c r="F23" s="13">
        <f t="shared" si="9"/>
        <v>0</v>
      </c>
      <c r="G23" s="13">
        <f t="shared" si="9"/>
        <v>0</v>
      </c>
      <c r="H23" s="13">
        <f t="shared" si="9"/>
        <v>0</v>
      </c>
      <c r="I23" s="13">
        <f t="shared" si="9"/>
        <v>1735079.49999997</v>
      </c>
      <c r="J23" s="13">
        <f t="shared" si="9"/>
        <v>21061471.497916635</v>
      </c>
      <c r="K23" s="13">
        <f t="shared" si="9"/>
        <v>40468390.12915796</v>
      </c>
      <c r="L23" s="13">
        <f t="shared" si="9"/>
        <v>59956170.921362787</v>
      </c>
      <c r="M23" s="13">
        <f t="shared" si="9"/>
        <v>79525150.800201803</v>
      </c>
      <c r="N23" s="13">
        <f t="shared" si="9"/>
        <v>99175668.09520264</v>
      </c>
      <c r="O23" s="13">
        <f t="shared" si="9"/>
        <v>118908062.54559931</v>
      </c>
      <c r="P23" s="13">
        <f t="shared" si="9"/>
        <v>138722675.30620599</v>
      </c>
      <c r="Q23" s="13">
        <f t="shared" si="9"/>
        <v>158619848.95331517</v>
      </c>
      <c r="R23" s="13">
        <f t="shared" si="9"/>
        <v>178599927.49062064</v>
      </c>
      <c r="S23" s="13">
        <f t="shared" si="9"/>
        <v>198663256.35516489</v>
      </c>
      <c r="T23" s="13">
        <f t="shared" si="9"/>
        <v>218810182.42331141</v>
      </c>
      <c r="U23" s="13">
        <f t="shared" si="9"/>
        <v>239041054.01674187</v>
      </c>
      <c r="V23" s="13">
        <f t="shared" si="9"/>
        <v>259356220.90847829</v>
      </c>
      <c r="W23" s="13">
        <f t="shared" si="9"/>
        <v>279756034.32893026</v>
      </c>
      <c r="X23" s="13">
        <f t="shared" si="9"/>
        <v>300240846.97196746</v>
      </c>
      <c r="Y23" s="13">
        <f t="shared" si="9"/>
        <v>320811013.00101733</v>
      </c>
      <c r="Z23" s="13">
        <f t="shared" si="9"/>
        <v>355464168.05518824</v>
      </c>
      <c r="AA23" s="13">
        <f>Z23</f>
        <v>355464168.05518824</v>
      </c>
    </row>
    <row r="24" spans="2:27" ht="17" thickTop="1"/>
    <row r="25" spans="2:27" ht="17" thickBot="1">
      <c r="B25" s="23" t="s">
        <v>80</v>
      </c>
      <c r="Z25" s="24">
        <f>Z23</f>
        <v>355464168.05518824</v>
      </c>
      <c r="AA25" s="24">
        <f>AA23</f>
        <v>355464168.05518824</v>
      </c>
    </row>
    <row r="26" spans="2:27" ht="17" thickTop="1"/>
  </sheetData>
  <phoneticPr fontId="8" type="noConversion"/>
  <pageMargins left="0.7" right="0.7" top="0.75" bottom="0.75" header="0.3" footer="0.3"/>
  <ignoredErrors>
    <ignoredError sqref="AA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Assumptions</vt:lpstr>
      <vt:lpstr>Pro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Talati,Shyam</dc:creator>
  <cp:lastModifiedBy>Talati,Shyam</cp:lastModifiedBy>
  <dcterms:created xsi:type="dcterms:W3CDTF">2026-02-09T01:54:17Z</dcterms:created>
  <dcterms:modified xsi:type="dcterms:W3CDTF">2026-02-09T02:59:25Z</dcterms:modified>
</cp:coreProperties>
</file>