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shyamtalati/Library/Mobile Documents/com~apple~CloudDocs/Documents - Shyam’s Laptop/School/2025-2026 Year /2 - Winter 26/REMD 375/Week 7/"/>
    </mc:Choice>
  </mc:AlternateContent>
  <xr:revisionPtr revIDLastSave="0" documentId="13_ncr:1_{09F286C3-E988-A443-96BD-C335B3448F89}" xr6:coauthVersionLast="47" xr6:coauthVersionMax="47" xr10:uidLastSave="{00000000-0000-0000-0000-000000000000}"/>
  <bookViews>
    <workbookView xWindow="0" yWindow="780" windowWidth="34200" windowHeight="21460" tabRatio="500" activeTab="2" xr2:uid="{00000000-000D-0000-FFFF-FFFF00000000}"/>
  </bookViews>
  <sheets>
    <sheet name="Assumptions" sheetId="1" r:id="rId1"/>
    <sheet name="Amortization" sheetId="2" r:id="rId2"/>
    <sheet name="Calculations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32" i="3" l="1"/>
  <c r="C108" i="3"/>
  <c r="C84" i="3"/>
  <c r="C43" i="3"/>
  <c r="C42" i="3"/>
  <c r="C44" i="3" s="1"/>
  <c r="C34" i="3"/>
  <c r="C4" i="3"/>
  <c r="C40" i="1"/>
  <c r="C39" i="1"/>
  <c r="C41" i="1" s="1"/>
  <c r="C42" i="1" s="1"/>
  <c r="C38" i="1"/>
  <c r="C35" i="1"/>
  <c r="C6" i="1"/>
  <c r="C36" i="1" s="1"/>
  <c r="C133" i="3" l="1"/>
  <c r="C134" i="3" s="1"/>
  <c r="D132" i="3"/>
  <c r="C109" i="3"/>
  <c r="D108" i="3"/>
  <c r="C110" i="3"/>
  <c r="C85" i="3"/>
  <c r="C86" i="3" s="1"/>
  <c r="D84" i="3"/>
  <c r="C55" i="3"/>
  <c r="C5" i="3"/>
  <c r="C6" i="3" s="1"/>
  <c r="D4" i="3"/>
  <c r="C10" i="3"/>
  <c r="D10" i="3"/>
  <c r="E10" i="3"/>
  <c r="F10" i="3"/>
  <c r="G10" i="3"/>
  <c r="C90" i="3"/>
  <c r="D90" i="3"/>
  <c r="E90" i="3"/>
  <c r="F90" i="3"/>
  <c r="G90" i="3"/>
  <c r="C114" i="3"/>
  <c r="D114" i="3"/>
  <c r="E114" i="3"/>
  <c r="F114" i="3"/>
  <c r="G114" i="3"/>
  <c r="C138" i="3"/>
  <c r="D138" i="3"/>
  <c r="E138" i="3"/>
  <c r="F138" i="3"/>
  <c r="G138" i="3"/>
  <c r="C4" i="2"/>
  <c r="C43" i="1"/>
  <c r="C45" i="1" s="1"/>
  <c r="C37" i="1"/>
  <c r="C35" i="3"/>
  <c r="C36" i="3" s="1"/>
  <c r="C135" i="3" l="1"/>
  <c r="D135" i="3" s="1"/>
  <c r="E135" i="3" s="1"/>
  <c r="F135" i="3" s="1"/>
  <c r="G135" i="3" s="1"/>
  <c r="C136" i="3"/>
  <c r="C137" i="3"/>
  <c r="E132" i="3"/>
  <c r="D133" i="3"/>
  <c r="D134" i="3"/>
  <c r="E108" i="3"/>
  <c r="D109" i="3"/>
  <c r="D110" i="3"/>
  <c r="C111" i="3"/>
  <c r="C112" i="3"/>
  <c r="C87" i="3"/>
  <c r="D87" i="3" s="1"/>
  <c r="E87" i="3" s="1"/>
  <c r="F87" i="3" s="1"/>
  <c r="G87" i="3" s="1"/>
  <c r="C88" i="3"/>
  <c r="C89" i="3"/>
  <c r="E84" i="3"/>
  <c r="D85" i="3"/>
  <c r="D86" i="3"/>
  <c r="C7" i="3"/>
  <c r="C8" i="3"/>
  <c r="E4" i="3"/>
  <c r="D5" i="3"/>
  <c r="D6" i="3"/>
  <c r="F4" i="2"/>
  <c r="C64" i="3"/>
  <c r="C67" i="3" s="1"/>
  <c r="C127" i="3"/>
  <c r="C103" i="3"/>
  <c r="C151" i="3"/>
  <c r="C44" i="1"/>
  <c r="G16" i="3" s="1"/>
  <c r="G23" i="3" s="1"/>
  <c r="G21" i="3"/>
  <c r="E21" i="3"/>
  <c r="C38" i="3"/>
  <c r="C47" i="3" s="1"/>
  <c r="C51" i="3" s="1"/>
  <c r="C21" i="3"/>
  <c r="D21" i="3"/>
  <c r="C123" i="3"/>
  <c r="F21" i="3"/>
  <c r="C99" i="3"/>
  <c r="C147" i="3"/>
  <c r="D136" i="3" l="1"/>
  <c r="C139" i="3"/>
  <c r="F132" i="3"/>
  <c r="E133" i="3"/>
  <c r="E134" i="3" s="1"/>
  <c r="F108" i="3"/>
  <c r="E109" i="3"/>
  <c r="E110" i="3"/>
  <c r="D112" i="3"/>
  <c r="E112" i="3" s="1"/>
  <c r="F112" i="3" s="1"/>
  <c r="G112" i="3" s="1"/>
  <c r="C120" i="3" s="1"/>
  <c r="C121" i="3" s="1"/>
  <c r="C122" i="3" s="1"/>
  <c r="C124" i="3" s="1"/>
  <c r="C125" i="3" s="1"/>
  <c r="D88" i="3"/>
  <c r="C91" i="3"/>
  <c r="F84" i="3"/>
  <c r="E85" i="3"/>
  <c r="E86" i="3"/>
  <c r="D8" i="3"/>
  <c r="C20" i="3"/>
  <c r="F4" i="3"/>
  <c r="E5" i="3"/>
  <c r="E6" i="3"/>
  <c r="D16" i="3"/>
  <c r="D23" i="3" s="1"/>
  <c r="C16" i="3"/>
  <c r="C23" i="3" s="1"/>
  <c r="E16" i="3"/>
  <c r="E23" i="3" s="1"/>
  <c r="F16" i="3"/>
  <c r="F23" i="3" s="1"/>
  <c r="D111" i="3"/>
  <c r="C113" i="3"/>
  <c r="D7" i="3"/>
  <c r="C9" i="3"/>
  <c r="C5" i="2"/>
  <c r="E4" i="2"/>
  <c r="D4" i="2" s="1"/>
  <c r="D137" i="3" l="1"/>
  <c r="E136" i="3"/>
  <c r="G132" i="3"/>
  <c r="F133" i="3"/>
  <c r="F134" i="3"/>
  <c r="G108" i="3"/>
  <c r="F109" i="3"/>
  <c r="F110" i="3" s="1"/>
  <c r="F113" i="3" s="1"/>
  <c r="D89" i="3"/>
  <c r="E88" i="3"/>
  <c r="G84" i="3"/>
  <c r="F85" i="3"/>
  <c r="F86" i="3"/>
  <c r="E8" i="3"/>
  <c r="D20" i="3"/>
  <c r="G4" i="3"/>
  <c r="F5" i="3"/>
  <c r="F6" i="3"/>
  <c r="D113" i="3"/>
  <c r="E111" i="3"/>
  <c r="F111" i="3" s="1"/>
  <c r="G111" i="3" s="1"/>
  <c r="C115" i="3"/>
  <c r="D9" i="3"/>
  <c r="E7" i="3"/>
  <c r="F7" i="3" s="1"/>
  <c r="G7" i="3" s="1"/>
  <c r="C19" i="3"/>
  <c r="C11" i="3"/>
  <c r="C27" i="3" s="1"/>
  <c r="F5" i="2"/>
  <c r="C15" i="3"/>
  <c r="C22" i="3" s="1"/>
  <c r="C92" i="3"/>
  <c r="C93" i="3" s="1"/>
  <c r="C94" i="3" s="1"/>
  <c r="C95" i="3" s="1"/>
  <c r="D103" i="3" s="1"/>
  <c r="C116" i="3"/>
  <c r="C117" i="3" s="1"/>
  <c r="C118" i="3" s="1"/>
  <c r="C119" i="3" s="1"/>
  <c r="D127" i="3" s="1"/>
  <c r="C140" i="3"/>
  <c r="C141" i="3" s="1"/>
  <c r="C142" i="3" s="1"/>
  <c r="C143" i="3"/>
  <c r="D151" i="3" s="1"/>
  <c r="E113" i="3"/>
  <c r="D139" i="3" l="1"/>
  <c r="E137" i="3"/>
  <c r="F136" i="3"/>
  <c r="G133" i="3"/>
  <c r="G134" i="3" s="1"/>
  <c r="G109" i="3"/>
  <c r="G110" i="3"/>
  <c r="G113" i="3" s="1"/>
  <c r="F115" i="3"/>
  <c r="D91" i="3"/>
  <c r="E89" i="3"/>
  <c r="F88" i="3"/>
  <c r="G85" i="3"/>
  <c r="G86" i="3" s="1"/>
  <c r="E9" i="3"/>
  <c r="F8" i="3"/>
  <c r="E20" i="3"/>
  <c r="G5" i="3"/>
  <c r="G6" i="3" s="1"/>
  <c r="D115" i="3"/>
  <c r="D19" i="3"/>
  <c r="D11" i="3"/>
  <c r="D27" i="3" s="1"/>
  <c r="E115" i="3"/>
  <c r="C24" i="3"/>
  <c r="C25" i="3" s="1"/>
  <c r="C28" i="3" s="1"/>
  <c r="C29" i="3" s="1"/>
  <c r="D65" i="3" s="1"/>
  <c r="D67" i="3" s="1"/>
  <c r="C6" i="2"/>
  <c r="E5" i="2"/>
  <c r="D5" i="2" s="1"/>
  <c r="E139" i="3" l="1"/>
  <c r="F137" i="3"/>
  <c r="G136" i="3"/>
  <c r="G115" i="3"/>
  <c r="E91" i="3"/>
  <c r="F89" i="3"/>
  <c r="G88" i="3"/>
  <c r="E19" i="3"/>
  <c r="E11" i="3"/>
  <c r="E27" i="3" s="1"/>
  <c r="F9" i="3"/>
  <c r="G8" i="3"/>
  <c r="F20" i="3"/>
  <c r="F6" i="2"/>
  <c r="D140" i="3"/>
  <c r="D141" i="3" s="1"/>
  <c r="D142" i="3" s="1"/>
  <c r="D143" i="3" s="1"/>
  <c r="E151" i="3" s="1"/>
  <c r="D92" i="3"/>
  <c r="D93" i="3" s="1"/>
  <c r="D94" i="3" s="1"/>
  <c r="D95" i="3" s="1"/>
  <c r="E103" i="3" s="1"/>
  <c r="D15" i="3"/>
  <c r="D22" i="3" s="1"/>
  <c r="D24" i="3" s="1"/>
  <c r="D25" i="3" s="1"/>
  <c r="D28" i="3" s="1"/>
  <c r="D29" i="3" s="1"/>
  <c r="E65" i="3" s="1"/>
  <c r="E67" i="3" s="1"/>
  <c r="D116" i="3"/>
  <c r="D117" i="3" s="1"/>
  <c r="D118" i="3" s="1"/>
  <c r="D119" i="3" s="1"/>
  <c r="E127" i="3" s="1"/>
  <c r="F139" i="3" l="1"/>
  <c r="G137" i="3"/>
  <c r="C144" i="3"/>
  <c r="C145" i="3" s="1"/>
  <c r="C146" i="3" s="1"/>
  <c r="C148" i="3" s="1"/>
  <c r="C149" i="3" s="1"/>
  <c r="F91" i="3"/>
  <c r="G89" i="3"/>
  <c r="C96" i="3"/>
  <c r="C97" i="3" s="1"/>
  <c r="C98" i="3" s="1"/>
  <c r="C100" i="3" s="1"/>
  <c r="C101" i="3" s="1"/>
  <c r="F19" i="3"/>
  <c r="F11" i="3"/>
  <c r="F27" i="3" s="1"/>
  <c r="G9" i="3"/>
  <c r="C37" i="3"/>
  <c r="C39" i="3" s="1"/>
  <c r="C45" i="3" s="1"/>
  <c r="C46" i="3" s="1"/>
  <c r="C48" i="3" s="1"/>
  <c r="C50" i="3" s="1"/>
  <c r="C52" i="3" s="1"/>
  <c r="C58" i="3" s="1"/>
  <c r="G20" i="3"/>
  <c r="C7" i="2"/>
  <c r="E6" i="2"/>
  <c r="D6" i="2" s="1"/>
  <c r="G139" i="3" l="1"/>
  <c r="G91" i="3"/>
  <c r="G19" i="3"/>
  <c r="G11" i="3"/>
  <c r="G27" i="3" s="1"/>
  <c r="F7" i="2"/>
  <c r="E15" i="3"/>
  <c r="E22" i="3" s="1"/>
  <c r="E24" i="3" s="1"/>
  <c r="E25" i="3" s="1"/>
  <c r="E28" i="3" s="1"/>
  <c r="E29" i="3" s="1"/>
  <c r="F65" i="3" s="1"/>
  <c r="F67" i="3" s="1"/>
  <c r="E92" i="3"/>
  <c r="E93" i="3" s="1"/>
  <c r="E94" i="3" s="1"/>
  <c r="E95" i="3" s="1"/>
  <c r="F103" i="3" s="1"/>
  <c r="E116" i="3"/>
  <c r="E117" i="3" s="1"/>
  <c r="E118" i="3" s="1"/>
  <c r="E119" i="3" s="1"/>
  <c r="F127" i="3" s="1"/>
  <c r="E140" i="3"/>
  <c r="E141" i="3" s="1"/>
  <c r="E142" i="3" s="1"/>
  <c r="E143" i="3" s="1"/>
  <c r="F151" i="3" s="1"/>
  <c r="C8" i="2" l="1"/>
  <c r="E7" i="2"/>
  <c r="D7" i="2" s="1"/>
  <c r="F8" i="2" l="1"/>
  <c r="E8" i="2"/>
  <c r="D8" i="2" s="1"/>
  <c r="F92" i="3"/>
  <c r="F93" i="3" s="1"/>
  <c r="F94" i="3" s="1"/>
  <c r="F95" i="3" s="1"/>
  <c r="G103" i="3" s="1"/>
  <c r="F116" i="3"/>
  <c r="F117" i="3" s="1"/>
  <c r="F118" i="3" s="1"/>
  <c r="F119" i="3" s="1"/>
  <c r="G127" i="3" s="1"/>
  <c r="F140" i="3"/>
  <c r="F141" i="3" s="1"/>
  <c r="F142" i="3" s="1"/>
  <c r="F143" i="3" s="1"/>
  <c r="G151" i="3" s="1"/>
  <c r="F15" i="3"/>
  <c r="F22" i="3" s="1"/>
  <c r="F24" i="3" s="1"/>
  <c r="F25" i="3" s="1"/>
  <c r="F28" i="3" s="1"/>
  <c r="F29" i="3" s="1"/>
  <c r="G65" i="3" s="1"/>
  <c r="G67" i="3" s="1"/>
  <c r="C150" i="3" l="1"/>
  <c r="C126" i="3"/>
  <c r="C102" i="3"/>
  <c r="C56" i="3"/>
  <c r="C57" i="3" s="1"/>
  <c r="C59" i="3" s="1"/>
  <c r="H66" i="3" s="1"/>
  <c r="G140" i="3"/>
  <c r="G141" i="3" s="1"/>
  <c r="G142" i="3" s="1"/>
  <c r="G143" i="3" s="1"/>
  <c r="H151" i="3" s="1"/>
  <c r="C152" i="3" s="1"/>
  <c r="E157" i="3" s="1"/>
  <c r="G15" i="3"/>
  <c r="G22" i="3" s="1"/>
  <c r="G24" i="3" s="1"/>
  <c r="G25" i="3" s="1"/>
  <c r="G28" i="3" s="1"/>
  <c r="G29" i="3" s="1"/>
  <c r="H65" i="3" s="1"/>
  <c r="H67" i="3" s="1"/>
  <c r="G116" i="3"/>
  <c r="G117" i="3" s="1"/>
  <c r="G118" i="3" s="1"/>
  <c r="G119" i="3" s="1"/>
  <c r="H127" i="3" s="1"/>
  <c r="C128" i="3" s="1"/>
  <c r="D157" i="3" s="1"/>
  <c r="G92" i="3"/>
  <c r="G93" i="3" s="1"/>
  <c r="G94" i="3" s="1"/>
  <c r="G95" i="3" s="1"/>
  <c r="C69" i="3" l="1"/>
  <c r="C71" i="3"/>
  <c r="C73" i="3"/>
  <c r="C70" i="3"/>
  <c r="H103" i="3"/>
  <c r="C104" i="3" s="1"/>
  <c r="C157" i="3" s="1"/>
</calcChain>
</file>

<file path=xl/sharedStrings.xml><?xml version="1.0" encoding="utf-8"?>
<sst xmlns="http://schemas.openxmlformats.org/spreadsheetml/2006/main" count="211" uniqueCount="129">
  <si>
    <t>Property Assumptions</t>
  </si>
  <si>
    <t>Purchase Price</t>
  </si>
  <si>
    <t>Land Value (%)</t>
  </si>
  <si>
    <t>Building Value (%)</t>
  </si>
  <si>
    <t>Holding Period (Years)</t>
  </si>
  <si>
    <t>Depreciation Life (Years)</t>
  </si>
  <si>
    <t>Income Assumptions</t>
  </si>
  <si>
    <t>Gross Potential Income (PGI)</t>
  </si>
  <si>
    <t>PGI Escalation Rate</t>
  </si>
  <si>
    <t>Vacancy &amp; Collection Loss (% of PGI)</t>
  </si>
  <si>
    <t>Operating Expenses (% of EGI)</t>
  </si>
  <si>
    <t>OE Escalation Rate</t>
  </si>
  <si>
    <t>Capital Expenditures (% of EGI)</t>
  </si>
  <si>
    <t>CAPX Escalation Rate</t>
  </si>
  <si>
    <t>Mortgage Assumptions</t>
  </si>
  <si>
    <t>LTV Ratio</t>
  </si>
  <si>
    <t>Interest Rate (Annual)</t>
  </si>
  <si>
    <t>Amortization Period (Years)</t>
  </si>
  <si>
    <t>Up-Front Financing Costs (% of Loan)</t>
  </si>
  <si>
    <t>Tax Rate Assumptions</t>
  </si>
  <si>
    <t>Ordinary Tax Rate</t>
  </si>
  <si>
    <t>Capital Gains Tax Rate</t>
  </si>
  <si>
    <t>Depreciation Recapture Tax Rate</t>
  </si>
  <si>
    <t>Sales Assumptions</t>
  </si>
  <si>
    <t>Sales Proceeds (Year 5)</t>
  </si>
  <si>
    <t>Selling Expenses (% of Sales Proceeds)</t>
  </si>
  <si>
    <t>Derived Values</t>
  </si>
  <si>
    <t>Land Value</t>
  </si>
  <si>
    <t>Building Value</t>
  </si>
  <si>
    <t>Annual Depreciation</t>
  </si>
  <si>
    <t>Loan Amount</t>
  </si>
  <si>
    <t>Monthly Rate</t>
  </si>
  <si>
    <t>Number of Monthly Payments</t>
  </si>
  <si>
    <t>Monthly Payment</t>
  </si>
  <si>
    <t>Annual Debt Service</t>
  </si>
  <si>
    <t>Total Up-Front Financing Costs</t>
  </si>
  <si>
    <t>Annual Amortization of Financing Costs</t>
  </si>
  <si>
    <t>Required Equity Investment</t>
  </si>
  <si>
    <t>Annual Loan Amortization Schedule</t>
  </si>
  <si>
    <t>Year</t>
  </si>
  <si>
    <t>Beginning Balance</t>
  </si>
  <si>
    <t>Annual Interest</t>
  </si>
  <si>
    <t>Annual Principal</t>
  </si>
  <si>
    <t>Ending Balance</t>
  </si>
  <si>
    <t>Part 1: Five-Year Operating Pro Forma</t>
  </si>
  <si>
    <t>Year 1</t>
  </si>
  <si>
    <t>Year 2</t>
  </si>
  <si>
    <t>Year 3</t>
  </si>
  <si>
    <t>Year 4</t>
  </si>
  <si>
    <t>Year 5</t>
  </si>
  <si>
    <t>Potential Gross Income (PGI)</t>
  </si>
  <si>
    <t>Less: Vacancy &amp; Collection Loss</t>
  </si>
  <si>
    <t>Effective Gross Income (EGI)</t>
  </si>
  <si>
    <t>Less: Operating Expenses</t>
  </si>
  <si>
    <t>Less: Capital Expenditures</t>
  </si>
  <si>
    <t>Net Operating Income (NOI)</t>
  </si>
  <si>
    <t>Less: Debt Service</t>
  </si>
  <si>
    <t>Before-Tax Cash Flow (BTCF)</t>
  </si>
  <si>
    <t>Part 2: After-Tax Cash Flow (ATCF)</t>
  </si>
  <si>
    <t>Interest Expense (from Amortization)</t>
  </si>
  <si>
    <t>Amortized Financing Costs (AFC)</t>
  </si>
  <si>
    <t>Tax Calculation</t>
  </si>
  <si>
    <t>Plus: Capital Expenditures (add back)</t>
  </si>
  <si>
    <t>Less: Depreciation</t>
  </si>
  <si>
    <t>Less: Interest Expense</t>
  </si>
  <si>
    <t>Less: Amortized Financing Costs (AFC)</t>
  </si>
  <si>
    <t>Taxable Income (TI)</t>
  </si>
  <si>
    <t>Tax Liability (TAX)</t>
  </si>
  <si>
    <t>Less: Tax Liability (TAX)</t>
  </si>
  <si>
    <t>After-Tax Cash Flow (ATCF)</t>
  </si>
  <si>
    <t>Part 3: After-Tax Equity Reversion (ATER)</t>
  </si>
  <si>
    <t>Adjusted Tax Basis</t>
  </si>
  <si>
    <t>Cost of Land</t>
  </si>
  <si>
    <t>Plus: Cost of Building</t>
  </si>
  <si>
    <t>Original Cost Basis (OB)</t>
  </si>
  <si>
    <t>Plus: Total Capital Expenditures (5 years)</t>
  </si>
  <si>
    <t>Less: Accumulated Depreciation (5 years)</t>
  </si>
  <si>
    <t>Adjusted Basis (AB)</t>
  </si>
  <si>
    <t>Taxes Due on Sale</t>
  </si>
  <si>
    <t>Selling Price (SP)</t>
  </si>
  <si>
    <t>Less: Selling Expenses (SE)</t>
  </si>
  <si>
    <t>Net Sale Proceeds (NSP)</t>
  </si>
  <si>
    <t>Less: Adjusted Basis (AB)</t>
  </si>
  <si>
    <t>Total Taxable Gain (TG)</t>
  </si>
  <si>
    <t>Less: Depreciation Recapture (DEPR)</t>
  </si>
  <si>
    <t>Capital Gain (CG)</t>
  </si>
  <si>
    <t>Capital Gain Tax (CG x 15%)</t>
  </si>
  <si>
    <t>Plus: Depreciation Recapture Tax (DEPR x 20%)</t>
  </si>
  <si>
    <t>Taxes Due on Sale (TDS)</t>
  </si>
  <si>
    <t>After-Tax Equity Reversion</t>
  </si>
  <si>
    <t>Less: Remaining Mortgage Balance (RMB)</t>
  </si>
  <si>
    <t>Before-Tax Equity Reversion (BTER)</t>
  </si>
  <si>
    <t>Less: Taxes Due on Sale (TDS)</t>
  </si>
  <si>
    <t>After-Tax Equity Reversion (ATER)</t>
  </si>
  <si>
    <t>Part 4: NPV &amp; IRR Analysis</t>
  </si>
  <si>
    <t>Year 0</t>
  </si>
  <si>
    <t>Equity Investment</t>
  </si>
  <si>
    <t>Total Cash Flow</t>
  </si>
  <si>
    <t>NPV @ 7%</t>
  </si>
  <si>
    <t>NPV @ 9%</t>
  </si>
  <si>
    <t>NPV @ 12%</t>
  </si>
  <si>
    <t>IRR</t>
  </si>
  <si>
    <t>Part 5: Sensitivity Analysis (NPV @ 10% Discount Rate)</t>
  </si>
  <si>
    <t>Scenario Assumptions</t>
  </si>
  <si>
    <t>Most Likely</t>
  </si>
  <si>
    <t>Best Case</t>
  </si>
  <si>
    <t>Worst Case</t>
  </si>
  <si>
    <t>PGI Growth Rate</t>
  </si>
  <si>
    <t>Discount Rate</t>
  </si>
  <si>
    <t>Most Likely Scenario</t>
  </si>
  <si>
    <t>PGI</t>
  </si>
  <si>
    <t>Less: Vacancy</t>
  </si>
  <si>
    <t>EGI</t>
  </si>
  <si>
    <t>Less: CAPX</t>
  </si>
  <si>
    <t>NOI</t>
  </si>
  <si>
    <t>BTCF</t>
  </si>
  <si>
    <t>Interest Expense</t>
  </si>
  <si>
    <t>ATCF</t>
  </si>
  <si>
    <t>Total CAPX (5 yrs)</t>
  </si>
  <si>
    <t>TG</t>
  </si>
  <si>
    <t>DEPR</t>
  </si>
  <si>
    <t>CG</t>
  </si>
  <si>
    <t>TDS</t>
  </si>
  <si>
    <t>ATER</t>
  </si>
  <si>
    <t>NPV @ 10%</t>
  </si>
  <si>
    <t>Best Case Scenario</t>
  </si>
  <si>
    <t>Worst Case Scenario</t>
  </si>
  <si>
    <t>Sensitivity Summary</t>
  </si>
  <si>
    <t>NPV @ 10% Discount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</si>
</sst>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"/>
    <numFmt numFmtId="165" formatCode="0.0%"/>
    <numFmt numFmtId="166" formatCode="0.0000%"/>
    <numFmt numFmtId="167" formatCode="\$#,##0;&quot;($&quot;#,##0\);\-"/>
  </numFmts>
  <fonts count="5" x14ac:knownFonts="1">
    <font>
      <sz val="11"/>
      <color theme="1"/>
      <name val="Calibri"/>
      <family val="2"/>
      <charset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0052FF"/>
      <name val="Arial"/>
      <family val="2"/>
    </font>
    <font>
      <sz val="12"/>
      <color rgb="FF0052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E2F3"/>
        <bgColor rgb="FFCCFFFF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2" fillId="0" borderId="0" xfId="0" applyFont="1"/>
    <xf numFmtId="164" fontId="3" fillId="0" borderId="0" xfId="0" applyNumberFormat="1" applyFont="1"/>
    <xf numFmtId="165" fontId="4" fillId="0" borderId="0" xfId="0" applyNumberFormat="1" applyFont="1"/>
    <xf numFmtId="165" fontId="2" fillId="0" borderId="0" xfId="0" applyNumberFormat="1" applyFont="1"/>
    <xf numFmtId="0" fontId="4" fillId="0" borderId="0" xfId="0" applyFont="1"/>
    <xf numFmtId="164" fontId="2" fillId="0" borderId="0" xfId="0" applyNumberFormat="1" applyFont="1"/>
    <xf numFmtId="166" fontId="2" fillId="0" borderId="0" xfId="0" applyNumberFormat="1" applyFont="1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67" fontId="2" fillId="0" borderId="0" xfId="0" applyNumberFormat="1" applyFont="1"/>
    <xf numFmtId="167" fontId="1" fillId="0" borderId="2" xfId="0" applyNumberFormat="1" applyFont="1" applyBorder="1"/>
    <xf numFmtId="167" fontId="1" fillId="0" borderId="0" xfId="0" applyNumberFormat="1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52FF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45"/>
  <sheetViews>
    <sheetView zoomScaleNormal="100" workbookViewId="0"/>
  </sheetViews>
  <sheetFormatPr baseColWidth="10" defaultColWidth="8.6640625" defaultRowHeight="15" x14ac:dyDescent="0.2"/>
  <cols>
    <col min="1" max="1" width="4" customWidth="1"/>
    <col min="2" max="2" width="45" customWidth="1"/>
    <col min="3" max="3" width="18" customWidth="1"/>
  </cols>
  <sheetData>
    <row r="3" spans="1:3" ht="15" customHeight="1" x14ac:dyDescent="0.2">
      <c r="A3" s="1" t="s">
        <v>0</v>
      </c>
    </row>
    <row r="4" spans="1:3" ht="15" customHeight="1" x14ac:dyDescent="0.2">
      <c r="B4" s="2" t="s">
        <v>1</v>
      </c>
      <c r="C4" s="3">
        <v>10000000</v>
      </c>
    </row>
    <row r="5" spans="1:3" ht="15" customHeight="1" x14ac:dyDescent="0.2">
      <c r="B5" s="2" t="s">
        <v>2</v>
      </c>
      <c r="C5" s="4">
        <v>0.2</v>
      </c>
    </row>
    <row r="6" spans="1:3" ht="15" customHeight="1" x14ac:dyDescent="0.2">
      <c r="B6" s="2" t="s">
        <v>3</v>
      </c>
      <c r="C6" s="5">
        <f>1-C5</f>
        <v>0.8</v>
      </c>
    </row>
    <row r="7" spans="1:3" ht="15" customHeight="1" x14ac:dyDescent="0.2">
      <c r="B7" s="2" t="s">
        <v>4</v>
      </c>
      <c r="C7" s="6">
        <v>5</v>
      </c>
    </row>
    <row r="8" spans="1:3" ht="15" customHeight="1" x14ac:dyDescent="0.2">
      <c r="B8" s="2" t="s">
        <v>5</v>
      </c>
      <c r="C8" s="6">
        <v>39</v>
      </c>
    </row>
    <row r="10" spans="1:3" ht="15" customHeight="1" x14ac:dyDescent="0.2">
      <c r="A10" s="1" t="s">
        <v>6</v>
      </c>
    </row>
    <row r="11" spans="1:3" ht="15" customHeight="1" x14ac:dyDescent="0.2">
      <c r="B11" s="2" t="s">
        <v>7</v>
      </c>
      <c r="C11" s="3">
        <v>1700000</v>
      </c>
    </row>
    <row r="12" spans="1:3" ht="15" customHeight="1" x14ac:dyDescent="0.2">
      <c r="B12" s="2" t="s">
        <v>8</v>
      </c>
      <c r="C12" s="4">
        <v>0.02</v>
      </c>
    </row>
    <row r="13" spans="1:3" ht="15" customHeight="1" x14ac:dyDescent="0.2">
      <c r="B13" s="2" t="s">
        <v>9</v>
      </c>
      <c r="C13" s="4">
        <v>0.12</v>
      </c>
    </row>
    <row r="14" spans="1:3" ht="15" customHeight="1" x14ac:dyDescent="0.2">
      <c r="B14" s="2" t="s">
        <v>10</v>
      </c>
      <c r="C14" s="4">
        <v>0.4</v>
      </c>
    </row>
    <row r="15" spans="1:3" ht="15" customHeight="1" x14ac:dyDescent="0.2">
      <c r="B15" s="2" t="s">
        <v>11</v>
      </c>
      <c r="C15" s="4">
        <v>0.03</v>
      </c>
    </row>
    <row r="16" spans="1:3" ht="15" customHeight="1" x14ac:dyDescent="0.2">
      <c r="B16" s="2" t="s">
        <v>12</v>
      </c>
      <c r="C16" s="4">
        <v>0.05</v>
      </c>
    </row>
    <row r="17" spans="1:3" ht="15" customHeight="1" x14ac:dyDescent="0.2">
      <c r="B17" s="2" t="s">
        <v>13</v>
      </c>
      <c r="C17" s="4">
        <v>0.01</v>
      </c>
    </row>
    <row r="19" spans="1:3" ht="15" customHeight="1" x14ac:dyDescent="0.2">
      <c r="A19" s="1" t="s">
        <v>14</v>
      </c>
    </row>
    <row r="20" spans="1:3" ht="15" customHeight="1" x14ac:dyDescent="0.2">
      <c r="B20" s="2" t="s">
        <v>15</v>
      </c>
      <c r="C20" s="4">
        <v>0.7</v>
      </c>
    </row>
    <row r="21" spans="1:3" ht="15" customHeight="1" x14ac:dyDescent="0.2">
      <c r="B21" s="2" t="s">
        <v>16</v>
      </c>
      <c r="C21" s="4">
        <v>0.06</v>
      </c>
    </row>
    <row r="22" spans="1:3" ht="15" customHeight="1" x14ac:dyDescent="0.2">
      <c r="B22" s="2" t="s">
        <v>17</v>
      </c>
      <c r="C22" s="6">
        <v>30</v>
      </c>
    </row>
    <row r="23" spans="1:3" ht="15" customHeight="1" x14ac:dyDescent="0.2">
      <c r="B23" s="2" t="s">
        <v>18</v>
      </c>
      <c r="C23" s="4">
        <v>0.02</v>
      </c>
    </row>
    <row r="25" spans="1:3" ht="15" customHeight="1" x14ac:dyDescent="0.2">
      <c r="A25" s="1" t="s">
        <v>19</v>
      </c>
    </row>
    <row r="26" spans="1:3" ht="15" customHeight="1" x14ac:dyDescent="0.2">
      <c r="B26" s="2" t="s">
        <v>20</v>
      </c>
      <c r="C26" s="4">
        <v>0.3</v>
      </c>
    </row>
    <row r="27" spans="1:3" ht="15" customHeight="1" x14ac:dyDescent="0.2">
      <c r="B27" s="2" t="s">
        <v>21</v>
      </c>
      <c r="C27" s="4">
        <v>0.15</v>
      </c>
    </row>
    <row r="28" spans="1:3" ht="15" customHeight="1" x14ac:dyDescent="0.2">
      <c r="B28" s="2" t="s">
        <v>22</v>
      </c>
      <c r="C28" s="4">
        <v>0.2</v>
      </c>
    </row>
    <row r="30" spans="1:3" ht="15" customHeight="1" x14ac:dyDescent="0.2">
      <c r="A30" s="1" t="s">
        <v>23</v>
      </c>
    </row>
    <row r="31" spans="1:3" ht="15" customHeight="1" x14ac:dyDescent="0.2">
      <c r="B31" s="2" t="s">
        <v>24</v>
      </c>
      <c r="C31" s="3">
        <v>12000000</v>
      </c>
    </row>
    <row r="32" spans="1:3" ht="15" customHeight="1" x14ac:dyDescent="0.2">
      <c r="B32" s="2" t="s">
        <v>25</v>
      </c>
      <c r="C32" s="4">
        <v>0.04</v>
      </c>
    </row>
    <row r="34" spans="1:3" ht="15" customHeight="1" x14ac:dyDescent="0.2">
      <c r="A34" s="1" t="s">
        <v>26</v>
      </c>
    </row>
    <row r="35" spans="1:3" ht="15" customHeight="1" x14ac:dyDescent="0.2">
      <c r="B35" s="2" t="s">
        <v>27</v>
      </c>
      <c r="C35" s="7">
        <f>C4*C5</f>
        <v>2000000</v>
      </c>
    </row>
    <row r="36" spans="1:3" ht="15" customHeight="1" x14ac:dyDescent="0.2">
      <c r="B36" s="2" t="s">
        <v>28</v>
      </c>
      <c r="C36" s="7">
        <f>C4*C6</f>
        <v>8000000</v>
      </c>
    </row>
    <row r="37" spans="1:3" ht="15" customHeight="1" x14ac:dyDescent="0.2">
      <c r="B37" s="2" t="s">
        <v>29</v>
      </c>
      <c r="C37" s="7">
        <f>C36/C8</f>
        <v>205128.20512820513</v>
      </c>
    </row>
    <row r="38" spans="1:3" ht="15" customHeight="1" x14ac:dyDescent="0.2">
      <c r="B38" s="2" t="s">
        <v>30</v>
      </c>
      <c r="C38" s="7">
        <f>C20*C4</f>
        <v>7000000</v>
      </c>
    </row>
    <row r="39" spans="1:3" ht="15" customHeight="1" x14ac:dyDescent="0.2">
      <c r="B39" s="2" t="s">
        <v>31</v>
      </c>
      <c r="C39" s="8">
        <f>C21/12</f>
        <v>5.0000000000000001E-3</v>
      </c>
    </row>
    <row r="40" spans="1:3" ht="15" customHeight="1" x14ac:dyDescent="0.2">
      <c r="B40" s="2" t="s">
        <v>32</v>
      </c>
      <c r="C40" s="2">
        <f>C22*12</f>
        <v>360</v>
      </c>
    </row>
    <row r="41" spans="1:3" ht="15" customHeight="1" x14ac:dyDescent="0.2">
      <c r="B41" s="2" t="s">
        <v>33</v>
      </c>
      <c r="C41" s="7">
        <f>-PMT(C39,C40,C38)</f>
        <v>41968.536760692659</v>
      </c>
    </row>
    <row r="42" spans="1:3" ht="15" customHeight="1" x14ac:dyDescent="0.2">
      <c r="B42" s="2" t="s">
        <v>34</v>
      </c>
      <c r="C42" s="7">
        <f>C41*12</f>
        <v>503622.44112831191</v>
      </c>
    </row>
    <row r="43" spans="1:3" ht="15" customHeight="1" x14ac:dyDescent="0.2">
      <c r="B43" s="2" t="s">
        <v>35</v>
      </c>
      <c r="C43" s="7">
        <f>C38*C23</f>
        <v>140000</v>
      </c>
    </row>
    <row r="44" spans="1:3" ht="15" customHeight="1" x14ac:dyDescent="0.2">
      <c r="B44" s="2" t="s">
        <v>36</v>
      </c>
      <c r="C44" s="7">
        <f>C43/C22</f>
        <v>4666.666666666667</v>
      </c>
    </row>
    <row r="45" spans="1:3" ht="15" customHeight="1" x14ac:dyDescent="0.2">
      <c r="B45" s="2" t="s">
        <v>37</v>
      </c>
      <c r="C45" s="7">
        <f>C4-(C38-C43)</f>
        <v>3140000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zoomScaleNormal="100" workbookViewId="0"/>
  </sheetViews>
  <sheetFormatPr baseColWidth="10" defaultColWidth="8.6640625" defaultRowHeight="15" x14ac:dyDescent="0.2"/>
  <cols>
    <col min="1" max="1" width="4" customWidth="1"/>
    <col min="2" max="2" width="10" customWidth="1"/>
    <col min="3" max="6" width="20" customWidth="1"/>
  </cols>
  <sheetData>
    <row r="1" spans="1:6" ht="15" customHeight="1" x14ac:dyDescent="0.2">
      <c r="A1" s="1" t="s">
        <v>38</v>
      </c>
    </row>
    <row r="3" spans="1:6" ht="15" customHeight="1" x14ac:dyDescent="0.2">
      <c r="B3" s="9" t="s">
        <v>39</v>
      </c>
      <c r="C3" s="9" t="s">
        <v>40</v>
      </c>
      <c r="D3" s="9" t="s">
        <v>41</v>
      </c>
      <c r="E3" s="9" t="s">
        <v>42</v>
      </c>
      <c r="F3" s="9" t="s">
        <v>43</v>
      </c>
    </row>
    <row r="4" spans="1:6" ht="15" customHeight="1" x14ac:dyDescent="0.2">
      <c r="B4" s="2">
        <v>1</v>
      </c>
      <c r="C4" s="7">
        <f>Assumptions!C38</f>
        <v>7000000</v>
      </c>
      <c r="D4" s="7">
        <f>Assumptions!$C$42-Amortization!E4</f>
        <v>417661.62126894505</v>
      </c>
      <c r="E4" s="7">
        <f>C4-F4</f>
        <v>85960.819859366864</v>
      </c>
      <c r="F4" s="7">
        <f>C4*(1+Assumptions!$C$39)^12-Assumptions!$C$41*(((1+Assumptions!$C$39)^12-1)/Assumptions!$C$39)</f>
        <v>6914039.1801406331</v>
      </c>
    </row>
    <row r="5" spans="1:6" ht="15" customHeight="1" x14ac:dyDescent="0.2">
      <c r="B5" s="2">
        <v>2</v>
      </c>
      <c r="C5" s="7">
        <f>F4</f>
        <v>6914039.1801406331</v>
      </c>
      <c r="D5" s="7">
        <f>Assumptions!$C$42-Amortization!E5</f>
        <v>412359.74599394039</v>
      </c>
      <c r="E5" s="7">
        <f>C5-F5</f>
        <v>91262.695134371519</v>
      </c>
      <c r="F5" s="7">
        <f>C5*(1+Assumptions!$C$39)^12-Assumptions!$C$41*(((1+Assumptions!$C$39)^12-1)/Assumptions!$C$39)</f>
        <v>6822776.4850062616</v>
      </c>
    </row>
    <row r="6" spans="1:6" ht="15" customHeight="1" x14ac:dyDescent="0.2">
      <c r="B6" s="2">
        <v>3</v>
      </c>
      <c r="C6" s="7">
        <f>F5</f>
        <v>6822776.4850062616</v>
      </c>
      <c r="D6" s="7">
        <f>Assumptions!$C$42-Amortization!E6</f>
        <v>406730.86265319609</v>
      </c>
      <c r="E6" s="7">
        <f>C6-F6</f>
        <v>96891.578475115821</v>
      </c>
      <c r="F6" s="7">
        <f>C6*(1+Assumptions!$C$39)^12-Assumptions!$C$41*(((1+Assumptions!$C$39)^12-1)/Assumptions!$C$39)</f>
        <v>6725884.9065311458</v>
      </c>
    </row>
    <row r="7" spans="1:6" ht="15" customHeight="1" x14ac:dyDescent="0.2">
      <c r="B7" s="2">
        <v>4</v>
      </c>
      <c r="C7" s="7">
        <f>F6</f>
        <v>6725884.9065311458</v>
      </c>
      <c r="D7" s="7">
        <f>Assumptions!$C$42-Amortization!E7</f>
        <v>400754.80210475367</v>
      </c>
      <c r="E7" s="7">
        <f>C7-F7</f>
        <v>102867.63902355824</v>
      </c>
      <c r="F7" s="7">
        <f>C7*(1+Assumptions!$C$39)^12-Assumptions!$C$41*(((1+Assumptions!$C$39)^12-1)/Assumptions!$C$39)</f>
        <v>6623017.2675075876</v>
      </c>
    </row>
    <row r="8" spans="1:6" ht="15" customHeight="1" x14ac:dyDescent="0.2">
      <c r="B8" s="2">
        <v>5</v>
      </c>
      <c r="C8" s="7">
        <f>F7</f>
        <v>6623017.2675075876</v>
      </c>
      <c r="D8" s="7">
        <f>Assumptions!$C$42-Amortization!E8</f>
        <v>394410.15121811372</v>
      </c>
      <c r="E8" s="7">
        <f>C8-F8</f>
        <v>109212.28991019819</v>
      </c>
      <c r="F8" s="7">
        <f>C8*(1+Assumptions!$C$39)^12-Assumptions!$C$41*(((1+Assumptions!$C$39)^12-1)/Assumptions!$C$39)</f>
        <v>6513804.9775973894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7"/>
  <sheetViews>
    <sheetView tabSelected="1" zoomScaleNormal="100" workbookViewId="0"/>
  </sheetViews>
  <sheetFormatPr baseColWidth="10" defaultColWidth="8.6640625" defaultRowHeight="15" x14ac:dyDescent="0.2"/>
  <cols>
    <col min="1" max="1" width="4" customWidth="1"/>
    <col min="2" max="2" width="48" customWidth="1"/>
    <col min="3" max="7" width="16" customWidth="1"/>
    <col min="8" max="8" width="10.1640625" bestFit="1" customWidth="1"/>
  </cols>
  <sheetData>
    <row r="1" spans="1:7" ht="15" customHeight="1" x14ac:dyDescent="0.2">
      <c r="A1" s="1" t="s">
        <v>44</v>
      </c>
    </row>
    <row r="3" spans="1:7" ht="15" customHeight="1" x14ac:dyDescent="0.2">
      <c r="B3" s="10"/>
      <c r="C3" s="11" t="s">
        <v>45</v>
      </c>
      <c r="D3" s="11" t="s">
        <v>46</v>
      </c>
      <c r="E3" s="11" t="s">
        <v>47</v>
      </c>
      <c r="F3" s="11" t="s">
        <v>48</v>
      </c>
      <c r="G3" s="11" t="s">
        <v>49</v>
      </c>
    </row>
    <row r="4" spans="1:7" ht="15" customHeight="1" x14ac:dyDescent="0.2">
      <c r="B4" s="2" t="s">
        <v>50</v>
      </c>
      <c r="C4" s="12">
        <f>Assumptions!C11</f>
        <v>1700000</v>
      </c>
      <c r="D4" s="12">
        <f>C4*(1+Assumptions!$C$12)</f>
        <v>1734000</v>
      </c>
      <c r="E4" s="12">
        <f>D4*(1+Assumptions!$C$12)</f>
        <v>1768680</v>
      </c>
      <c r="F4" s="12">
        <f>E4*(1+Assumptions!$C$12)</f>
        <v>1804053.6</v>
      </c>
      <c r="G4" s="12">
        <f>F4*(1+Assumptions!$C$12)</f>
        <v>1840134.672</v>
      </c>
    </row>
    <row r="5" spans="1:7" ht="15" customHeight="1" x14ac:dyDescent="0.2">
      <c r="B5" s="2" t="s">
        <v>51</v>
      </c>
      <c r="C5" s="12">
        <f>-(C4*Assumptions!$C$13)</f>
        <v>-204000</v>
      </c>
      <c r="D5" s="12">
        <f>-(D4*Assumptions!$C$13)</f>
        <v>-208080</v>
      </c>
      <c r="E5" s="12">
        <f>-(E4*Assumptions!$C$13)</f>
        <v>-212241.6</v>
      </c>
      <c r="F5" s="12">
        <f>-(F4*Assumptions!$C$13)</f>
        <v>-216486.432</v>
      </c>
      <c r="G5" s="12">
        <f>-(G4*Assumptions!$C$13)</f>
        <v>-220816.16063999999</v>
      </c>
    </row>
    <row r="6" spans="1:7" ht="15" customHeight="1" x14ac:dyDescent="0.2">
      <c r="B6" s="10" t="s">
        <v>52</v>
      </c>
      <c r="C6" s="13">
        <f>C4+C5</f>
        <v>1496000</v>
      </c>
      <c r="D6" s="13">
        <f>D4+D5</f>
        <v>1525920</v>
      </c>
      <c r="E6" s="13">
        <f>E4+E5</f>
        <v>1556438.4</v>
      </c>
      <c r="F6" s="13">
        <f>F4+F5</f>
        <v>1587567.1680000001</v>
      </c>
      <c r="G6" s="13">
        <f>G4+G5</f>
        <v>1619318.5113600001</v>
      </c>
    </row>
    <row r="7" spans="1:7" ht="15" customHeight="1" x14ac:dyDescent="0.2">
      <c r="B7" s="2" t="s">
        <v>53</v>
      </c>
      <c r="C7" s="12">
        <f>-(C6*Assumptions!$C$14)</f>
        <v>-598400</v>
      </c>
      <c r="D7" s="12">
        <f>C7*(1+Assumptions!$C$15)</f>
        <v>-616352</v>
      </c>
      <c r="E7" s="12">
        <f>D7*(1+Assumptions!$C$15)</f>
        <v>-634842.56000000006</v>
      </c>
      <c r="F7" s="12">
        <f>E7*(1+Assumptions!$C$15)</f>
        <v>-653887.83680000005</v>
      </c>
      <c r="G7" s="12">
        <f>F7*(1+Assumptions!$C$15)</f>
        <v>-673504.47190400003</v>
      </c>
    </row>
    <row r="8" spans="1:7" ht="15" customHeight="1" x14ac:dyDescent="0.2">
      <c r="B8" s="2" t="s">
        <v>54</v>
      </c>
      <c r="C8" s="12">
        <f>-(C6*Assumptions!$C$16)</f>
        <v>-74800</v>
      </c>
      <c r="D8" s="12">
        <f>C8*(1+Assumptions!$C$17)</f>
        <v>-75548</v>
      </c>
      <c r="E8" s="12">
        <f>D8*(1+Assumptions!$C$17)</f>
        <v>-76303.48</v>
      </c>
      <c r="F8" s="12">
        <f>E8*(1+Assumptions!$C$17)</f>
        <v>-77066.51479999999</v>
      </c>
      <c r="G8" s="12">
        <f>F8*(1+Assumptions!$C$17)</f>
        <v>-77837.17994799999</v>
      </c>
    </row>
    <row r="9" spans="1:7" ht="15" customHeight="1" x14ac:dyDescent="0.2">
      <c r="B9" s="10" t="s">
        <v>55</v>
      </c>
      <c r="C9" s="13">
        <f>C6+C7+C8</f>
        <v>822800</v>
      </c>
      <c r="D9" s="13">
        <f>D6+D7+D8</f>
        <v>834020</v>
      </c>
      <c r="E9" s="13">
        <f>E6+E7+E8</f>
        <v>845292.35999999987</v>
      </c>
      <c r="F9" s="13">
        <f>F6+F7+F8</f>
        <v>856612.81640000001</v>
      </c>
      <c r="G9" s="13">
        <f>G6+G7+G8</f>
        <v>867976.85950800008</v>
      </c>
    </row>
    <row r="10" spans="1:7" ht="15" customHeight="1" x14ac:dyDescent="0.2">
      <c r="B10" s="2" t="s">
        <v>56</v>
      </c>
      <c r="C10" s="12">
        <f>-Assumptions!$C$42</f>
        <v>-503622.44112831191</v>
      </c>
      <c r="D10" s="12">
        <f>-Assumptions!$C$42</f>
        <v>-503622.44112831191</v>
      </c>
      <c r="E10" s="12">
        <f>-Assumptions!$C$42</f>
        <v>-503622.44112831191</v>
      </c>
      <c r="F10" s="12">
        <f>-Assumptions!$C$42</f>
        <v>-503622.44112831191</v>
      </c>
      <c r="G10" s="12">
        <f>-Assumptions!$C$42</f>
        <v>-503622.44112831191</v>
      </c>
    </row>
    <row r="11" spans="1:7" ht="15" customHeight="1" x14ac:dyDescent="0.2">
      <c r="B11" s="10" t="s">
        <v>57</v>
      </c>
      <c r="C11" s="13">
        <f>C9+C10</f>
        <v>319177.55887168809</v>
      </c>
      <c r="D11" s="13">
        <f>D9+D10</f>
        <v>330397.55887168809</v>
      </c>
      <c r="E11" s="13">
        <f>E9+E10</f>
        <v>341669.91887168796</v>
      </c>
      <c r="F11" s="13">
        <f>F9+F10</f>
        <v>352990.3752716881</v>
      </c>
      <c r="G11" s="13">
        <f>G9+G10</f>
        <v>364354.41837968817</v>
      </c>
    </row>
    <row r="13" spans="1:7" ht="15" customHeight="1" x14ac:dyDescent="0.2">
      <c r="A13" s="1" t="s">
        <v>58</v>
      </c>
    </row>
    <row r="15" spans="1:7" ht="15" customHeight="1" x14ac:dyDescent="0.2">
      <c r="B15" s="2" t="s">
        <v>59</v>
      </c>
      <c r="C15" s="12">
        <f>Amortization!D4</f>
        <v>417661.62126894505</v>
      </c>
      <c r="D15" s="12">
        <f>Amortization!D5</f>
        <v>412359.74599394039</v>
      </c>
      <c r="E15" s="12">
        <f>Amortization!D6</f>
        <v>406730.86265319609</v>
      </c>
      <c r="F15" s="12">
        <f>Amortization!D7</f>
        <v>400754.80210475367</v>
      </c>
      <c r="G15" s="12">
        <f>Amortization!D8</f>
        <v>394410.15121811372</v>
      </c>
    </row>
    <row r="16" spans="1:7" ht="15" customHeight="1" x14ac:dyDescent="0.2">
      <c r="B16" s="2" t="s">
        <v>60</v>
      </c>
      <c r="C16" s="12">
        <f>Assumptions!C44</f>
        <v>4666.666666666667</v>
      </c>
      <c r="D16" s="12">
        <f>Assumptions!C44</f>
        <v>4666.666666666667</v>
      </c>
      <c r="E16" s="12">
        <f>Assumptions!C44</f>
        <v>4666.666666666667</v>
      </c>
      <c r="F16" s="12">
        <f>Assumptions!C44</f>
        <v>4666.666666666667</v>
      </c>
      <c r="G16" s="12">
        <f>Assumptions!C43-(Assumptions!C44*4)</f>
        <v>121333.33333333333</v>
      </c>
    </row>
    <row r="18" spans="1:7" ht="15" customHeight="1" x14ac:dyDescent="0.2">
      <c r="B18" s="9" t="s">
        <v>61</v>
      </c>
      <c r="C18" s="11" t="s">
        <v>45</v>
      </c>
      <c r="D18" s="11" t="s">
        <v>46</v>
      </c>
      <c r="E18" s="11" t="s">
        <v>47</v>
      </c>
      <c r="F18" s="11" t="s">
        <v>48</v>
      </c>
      <c r="G18" s="11" t="s">
        <v>49</v>
      </c>
    </row>
    <row r="19" spans="1:7" ht="15" customHeight="1" x14ac:dyDescent="0.2">
      <c r="B19" s="2" t="s">
        <v>55</v>
      </c>
      <c r="C19" s="12">
        <f>C9</f>
        <v>822800</v>
      </c>
      <c r="D19" s="12">
        <f>D9</f>
        <v>834020</v>
      </c>
      <c r="E19" s="12">
        <f>E9</f>
        <v>845292.35999999987</v>
      </c>
      <c r="F19" s="12">
        <f>F9</f>
        <v>856612.81640000001</v>
      </c>
      <c r="G19" s="12">
        <f>G9</f>
        <v>867976.85950800008</v>
      </c>
    </row>
    <row r="20" spans="1:7" ht="15" customHeight="1" x14ac:dyDescent="0.2">
      <c r="B20" s="2" t="s">
        <v>62</v>
      </c>
      <c r="C20" s="12">
        <f>-C8</f>
        <v>74800</v>
      </c>
      <c r="D20" s="12">
        <f>-D8</f>
        <v>75548</v>
      </c>
      <c r="E20" s="12">
        <f>-E8</f>
        <v>76303.48</v>
      </c>
      <c r="F20" s="12">
        <f>-F8</f>
        <v>77066.51479999999</v>
      </c>
      <c r="G20" s="12">
        <f>-G8</f>
        <v>77837.17994799999</v>
      </c>
    </row>
    <row r="21" spans="1:7" ht="15" customHeight="1" x14ac:dyDescent="0.2">
      <c r="B21" s="2" t="s">
        <v>63</v>
      </c>
      <c r="C21" s="12">
        <f>-Assumptions!C37</f>
        <v>-205128.20512820513</v>
      </c>
      <c r="D21" s="12">
        <f>-Assumptions!C37</f>
        <v>-205128.20512820513</v>
      </c>
      <c r="E21" s="12">
        <f>-Assumptions!C37</f>
        <v>-205128.20512820513</v>
      </c>
      <c r="F21" s="12">
        <f>-Assumptions!C37</f>
        <v>-205128.20512820513</v>
      </c>
      <c r="G21" s="12">
        <f>-Assumptions!C37</f>
        <v>-205128.20512820513</v>
      </c>
    </row>
    <row r="22" spans="1:7" ht="15" customHeight="1" x14ac:dyDescent="0.2">
      <c r="B22" s="2" t="s">
        <v>64</v>
      </c>
      <c r="C22" s="12">
        <f t="shared" ref="C22:G23" si="0">-C15</f>
        <v>-417661.62126894505</v>
      </c>
      <c r="D22" s="12">
        <f t="shared" si="0"/>
        <v>-412359.74599394039</v>
      </c>
      <c r="E22" s="12">
        <f t="shared" si="0"/>
        <v>-406730.86265319609</v>
      </c>
      <c r="F22" s="12">
        <f t="shared" si="0"/>
        <v>-400754.80210475367</v>
      </c>
      <c r="G22" s="12">
        <f t="shared" si="0"/>
        <v>-394410.15121811372</v>
      </c>
    </row>
    <row r="23" spans="1:7" ht="15" customHeight="1" x14ac:dyDescent="0.2">
      <c r="B23" s="2" t="s">
        <v>65</v>
      </c>
      <c r="C23" s="12">
        <f t="shared" si="0"/>
        <v>-4666.666666666667</v>
      </c>
      <c r="D23" s="12">
        <f t="shared" si="0"/>
        <v>-4666.666666666667</v>
      </c>
      <c r="E23" s="12">
        <f t="shared" si="0"/>
        <v>-4666.666666666667</v>
      </c>
      <c r="F23" s="12">
        <f t="shared" si="0"/>
        <v>-4666.666666666667</v>
      </c>
      <c r="G23" s="12">
        <f t="shared" si="0"/>
        <v>-121333.33333333333</v>
      </c>
    </row>
    <row r="24" spans="1:7" ht="15" customHeight="1" x14ac:dyDescent="0.2">
      <c r="B24" s="10" t="s">
        <v>66</v>
      </c>
      <c r="C24" s="13">
        <f>SUM(C19:C23)</f>
        <v>270143.50693618314</v>
      </c>
      <c r="D24" s="13">
        <f>SUM(D19:D23)</f>
        <v>287413.3822111878</v>
      </c>
      <c r="E24" s="13">
        <f>SUM(E19:E23)</f>
        <v>305070.10555193195</v>
      </c>
      <c r="F24" s="13">
        <f>SUM(F19:F23)</f>
        <v>323129.65730037453</v>
      </c>
      <c r="G24" s="13">
        <f>SUM(G19:G23)</f>
        <v>224942.34977634792</v>
      </c>
    </row>
    <row r="25" spans="1:7" ht="15" customHeight="1" x14ac:dyDescent="0.2">
      <c r="B25" s="2" t="s">
        <v>67</v>
      </c>
      <c r="C25" s="12">
        <f>C24*Assumptions!$C$26</f>
        <v>81043.052080854934</v>
      </c>
      <c r="D25" s="12">
        <f>D24*Assumptions!$C$26</f>
        <v>86224.014663356342</v>
      </c>
      <c r="E25" s="12">
        <f>E24*Assumptions!$C$26</f>
        <v>91521.031665579576</v>
      </c>
      <c r="F25" s="12">
        <f>F24*Assumptions!$C$26</f>
        <v>96938.897190112359</v>
      </c>
      <c r="G25" s="12">
        <f>G24*Assumptions!$C$26</f>
        <v>67482.70493290438</v>
      </c>
    </row>
    <row r="27" spans="1:7" ht="15" customHeight="1" x14ac:dyDescent="0.2">
      <c r="B27" s="2" t="s">
        <v>57</v>
      </c>
      <c r="C27" s="12">
        <f>C11</f>
        <v>319177.55887168809</v>
      </c>
      <c r="D27" s="12">
        <f>D11</f>
        <v>330397.55887168809</v>
      </c>
      <c r="E27" s="12">
        <f>E11</f>
        <v>341669.91887168796</v>
      </c>
      <c r="F27" s="12">
        <f>F11</f>
        <v>352990.3752716881</v>
      </c>
      <c r="G27" s="12">
        <f>G11</f>
        <v>364354.41837968817</v>
      </c>
    </row>
    <row r="28" spans="1:7" ht="15" customHeight="1" x14ac:dyDescent="0.2">
      <c r="B28" s="2" t="s">
        <v>68</v>
      </c>
      <c r="C28" s="12">
        <f>-C25</f>
        <v>-81043.052080854934</v>
      </c>
      <c r="D28" s="12">
        <f>-D25</f>
        <v>-86224.014663356342</v>
      </c>
      <c r="E28" s="12">
        <f>-E25</f>
        <v>-91521.031665579576</v>
      </c>
      <c r="F28" s="12">
        <f>-F25</f>
        <v>-96938.897190112359</v>
      </c>
      <c r="G28" s="12">
        <f>-G25</f>
        <v>-67482.70493290438</v>
      </c>
    </row>
    <row r="29" spans="1:7" ht="15" customHeight="1" x14ac:dyDescent="0.2">
      <c r="B29" s="10" t="s">
        <v>69</v>
      </c>
      <c r="C29" s="13">
        <f>C27+C28</f>
        <v>238134.50679083314</v>
      </c>
      <c r="D29" s="13">
        <f>D27+D28</f>
        <v>244173.54420833173</v>
      </c>
      <c r="E29" s="13">
        <f>E27+E28</f>
        <v>250148.88720610837</v>
      </c>
      <c r="F29" s="13">
        <f>F27+F28</f>
        <v>256051.47808157574</v>
      </c>
      <c r="G29" s="13">
        <f>G27+G28</f>
        <v>296871.71344678377</v>
      </c>
    </row>
    <row r="31" spans="1:7" ht="15" customHeight="1" x14ac:dyDescent="0.2">
      <c r="A31" s="1" t="s">
        <v>70</v>
      </c>
    </row>
    <row r="33" spans="2:3" ht="15" customHeight="1" x14ac:dyDescent="0.2">
      <c r="B33" s="9" t="s">
        <v>71</v>
      </c>
    </row>
    <row r="34" spans="2:3" ht="15" customHeight="1" x14ac:dyDescent="0.2">
      <c r="B34" s="2" t="s">
        <v>72</v>
      </c>
      <c r="C34" s="12">
        <f>Assumptions!C35</f>
        <v>2000000</v>
      </c>
    </row>
    <row r="35" spans="2:3" ht="15" customHeight="1" x14ac:dyDescent="0.2">
      <c r="B35" s="2" t="s">
        <v>73</v>
      </c>
      <c r="C35" s="12">
        <f>Assumptions!C36</f>
        <v>8000000</v>
      </c>
    </row>
    <row r="36" spans="2:3" ht="15" customHeight="1" x14ac:dyDescent="0.2">
      <c r="B36" s="10" t="s">
        <v>74</v>
      </c>
      <c r="C36" s="13">
        <f>C34+C35</f>
        <v>10000000</v>
      </c>
    </row>
    <row r="37" spans="2:3" ht="15" customHeight="1" x14ac:dyDescent="0.2">
      <c r="B37" s="2" t="s">
        <v>75</v>
      </c>
      <c r="C37" s="12">
        <f>-(SUM(C8:G8))</f>
        <v>381555.17474799999</v>
      </c>
    </row>
    <row r="38" spans="2:3" ht="15" customHeight="1" x14ac:dyDescent="0.2">
      <c r="B38" s="2" t="s">
        <v>76</v>
      </c>
      <c r="C38" s="12">
        <f>-(Assumptions!C37*Assumptions!C7)</f>
        <v>-1025641.0256410256</v>
      </c>
    </row>
    <row r="39" spans="2:3" ht="15" customHeight="1" x14ac:dyDescent="0.2">
      <c r="B39" s="10" t="s">
        <v>77</v>
      </c>
      <c r="C39" s="13">
        <f>C36+C37+C38</f>
        <v>9355914.1491069738</v>
      </c>
    </row>
    <row r="41" spans="2:3" ht="15" customHeight="1" x14ac:dyDescent="0.2">
      <c r="B41" s="9" t="s">
        <v>78</v>
      </c>
    </row>
    <row r="42" spans="2:3" ht="15" customHeight="1" x14ac:dyDescent="0.2">
      <c r="B42" s="2" t="s">
        <v>79</v>
      </c>
      <c r="C42" s="12">
        <f>Assumptions!C31</f>
        <v>12000000</v>
      </c>
    </row>
    <row r="43" spans="2:3" ht="15" customHeight="1" x14ac:dyDescent="0.2">
      <c r="B43" s="2" t="s">
        <v>80</v>
      </c>
      <c r="C43" s="12">
        <f>-(Assumptions!C31*Assumptions!C32)</f>
        <v>-480000</v>
      </c>
    </row>
    <row r="44" spans="2:3" ht="15" customHeight="1" x14ac:dyDescent="0.2">
      <c r="B44" s="10" t="s">
        <v>81</v>
      </c>
      <c r="C44" s="13">
        <f>C42+C43</f>
        <v>11520000</v>
      </c>
    </row>
    <row r="45" spans="2:3" ht="15" customHeight="1" x14ac:dyDescent="0.2">
      <c r="B45" s="2" t="s">
        <v>82</v>
      </c>
      <c r="C45" s="12">
        <f>-C39</f>
        <v>-9355914.1491069738</v>
      </c>
    </row>
    <row r="46" spans="2:3" ht="15" customHeight="1" x14ac:dyDescent="0.2">
      <c r="B46" s="10" t="s">
        <v>83</v>
      </c>
      <c r="C46" s="13">
        <f>C44+C45</f>
        <v>2164085.8508930262</v>
      </c>
    </row>
    <row r="47" spans="2:3" ht="15" customHeight="1" x14ac:dyDescent="0.2">
      <c r="B47" s="2" t="s">
        <v>84</v>
      </c>
      <c r="C47" s="12">
        <f>C38</f>
        <v>-1025641.0256410256</v>
      </c>
    </row>
    <row r="48" spans="2:3" ht="15" customHeight="1" x14ac:dyDescent="0.2">
      <c r="B48" s="10" t="s">
        <v>85</v>
      </c>
      <c r="C48" s="13">
        <f>C46+C47</f>
        <v>1138444.8252520007</v>
      </c>
    </row>
    <row r="50" spans="1:8" ht="15" customHeight="1" x14ac:dyDescent="0.2">
      <c r="B50" s="2" t="s">
        <v>86</v>
      </c>
      <c r="C50" s="12">
        <f>C48*Assumptions!C27</f>
        <v>170766.72378780009</v>
      </c>
    </row>
    <row r="51" spans="1:8" ht="15" customHeight="1" x14ac:dyDescent="0.2">
      <c r="B51" s="2" t="s">
        <v>87</v>
      </c>
      <c r="C51" s="12">
        <f>-(C47*Assumptions!C28)</f>
        <v>205128.20512820513</v>
      </c>
    </row>
    <row r="52" spans="1:8" ht="15" customHeight="1" x14ac:dyDescent="0.2">
      <c r="B52" s="10" t="s">
        <v>88</v>
      </c>
      <c r="C52" s="13">
        <f>C50+C51</f>
        <v>375894.92891600518</v>
      </c>
    </row>
    <row r="54" spans="1:8" ht="15" customHeight="1" x14ac:dyDescent="0.2">
      <c r="B54" s="9" t="s">
        <v>89</v>
      </c>
    </row>
    <row r="55" spans="1:8" ht="15" customHeight="1" x14ac:dyDescent="0.2">
      <c r="B55" s="2" t="s">
        <v>81</v>
      </c>
      <c r="C55" s="12">
        <f>C44</f>
        <v>11520000</v>
      </c>
    </row>
    <row r="56" spans="1:8" ht="15" customHeight="1" x14ac:dyDescent="0.2">
      <c r="B56" s="2" t="s">
        <v>90</v>
      </c>
      <c r="C56" s="12">
        <f>-Amortization!F8</f>
        <v>-6513804.9775973894</v>
      </c>
    </row>
    <row r="57" spans="1:8" ht="15" customHeight="1" x14ac:dyDescent="0.2">
      <c r="B57" s="10" t="s">
        <v>91</v>
      </c>
      <c r="C57" s="13">
        <f>C55+C56</f>
        <v>5006195.0224026106</v>
      </c>
    </row>
    <row r="58" spans="1:8" ht="15" customHeight="1" x14ac:dyDescent="0.2">
      <c r="B58" s="2" t="s">
        <v>92</v>
      </c>
      <c r="C58" s="12">
        <f>-C52</f>
        <v>-375894.92891600518</v>
      </c>
    </row>
    <row r="59" spans="1:8" ht="15" customHeight="1" x14ac:dyDescent="0.2">
      <c r="B59" s="10" t="s">
        <v>93</v>
      </c>
      <c r="C59" s="13">
        <f>C57+C58</f>
        <v>4630300.0934866052</v>
      </c>
    </row>
    <row r="61" spans="1:8" ht="15" customHeight="1" x14ac:dyDescent="0.2">
      <c r="A61" s="1" t="s">
        <v>94</v>
      </c>
    </row>
    <row r="63" spans="1:8" ht="15" customHeight="1" x14ac:dyDescent="0.2">
      <c r="B63" s="10"/>
      <c r="C63" s="11" t="s">
        <v>95</v>
      </c>
      <c r="D63" s="11" t="s">
        <v>45</v>
      </c>
      <c r="E63" s="11" t="s">
        <v>46</v>
      </c>
      <c r="F63" s="11" t="s">
        <v>47</v>
      </c>
      <c r="G63" s="11" t="s">
        <v>48</v>
      </c>
      <c r="H63" s="11" t="s">
        <v>49</v>
      </c>
    </row>
    <row r="64" spans="1:8" ht="15" customHeight="1" x14ac:dyDescent="0.2">
      <c r="B64" s="2" t="s">
        <v>96</v>
      </c>
      <c r="C64" s="12">
        <f>-Assumptions!C45</f>
        <v>-3140000</v>
      </c>
    </row>
    <row r="65" spans="1:8" ht="15" customHeight="1" x14ac:dyDescent="0.2">
      <c r="B65" s="2" t="s">
        <v>69</v>
      </c>
      <c r="C65" s="2"/>
      <c r="D65" s="12">
        <f>C29</f>
        <v>238134.50679083314</v>
      </c>
      <c r="E65" s="12">
        <f>D29</f>
        <v>244173.54420833173</v>
      </c>
      <c r="F65" s="12">
        <f>E29</f>
        <v>250148.88720610837</v>
      </c>
      <c r="G65" s="12">
        <f>F29</f>
        <v>256051.47808157574</v>
      </c>
      <c r="H65" s="12">
        <f>G29</f>
        <v>296871.71344678377</v>
      </c>
    </row>
    <row r="66" spans="1:8" ht="15" customHeight="1" x14ac:dyDescent="0.2">
      <c r="B66" s="2" t="s">
        <v>93</v>
      </c>
      <c r="D66" s="2"/>
      <c r="E66" s="2"/>
      <c r="F66" s="2"/>
      <c r="G66" s="2"/>
      <c r="H66" s="12">
        <f>C59</f>
        <v>4630300.0934866052</v>
      </c>
    </row>
    <row r="67" spans="1:8" ht="15" customHeight="1" x14ac:dyDescent="0.2">
      <c r="B67" s="10" t="s">
        <v>97</v>
      </c>
      <c r="C67" s="13">
        <f>C64</f>
        <v>-3140000</v>
      </c>
      <c r="D67" s="13">
        <f>D65</f>
        <v>238134.50679083314</v>
      </c>
      <c r="E67" s="13">
        <f>E65</f>
        <v>244173.54420833173</v>
      </c>
      <c r="F67" s="13">
        <f>F65</f>
        <v>250148.88720610837</v>
      </c>
      <c r="G67" s="13">
        <f>G65</f>
        <v>256051.47808157574</v>
      </c>
      <c r="H67" s="13">
        <f>H65+H66</f>
        <v>4927171.806933389</v>
      </c>
    </row>
    <row r="69" spans="1:8" ht="15" customHeight="1" x14ac:dyDescent="0.2">
      <c r="B69" s="10" t="s">
        <v>98</v>
      </c>
      <c r="C69" s="14">
        <f>NPV(0.07,D67:H67)+C67</f>
        <v>1208368.0982386572</v>
      </c>
    </row>
    <row r="70" spans="1:8" ht="15" customHeight="1" x14ac:dyDescent="0.2">
      <c r="B70" s="10" t="s">
        <v>99</v>
      </c>
      <c r="C70" s="14">
        <f>NPV(0.09,D67:H67)+C67</f>
        <v>860865.77529393882</v>
      </c>
    </row>
    <row r="71" spans="1:8" ht="15" customHeight="1" x14ac:dyDescent="0.2">
      <c r="B71" s="10" t="s">
        <v>100</v>
      </c>
      <c r="C71" s="14">
        <f>NPV(0.12,D67:H67)+C67</f>
        <v>403859.73609424755</v>
      </c>
    </row>
    <row r="73" spans="1:8" ht="15" customHeight="1" x14ac:dyDescent="0.2">
      <c r="B73" s="10" t="s">
        <v>101</v>
      </c>
      <c r="C73" s="15">
        <f>IRR(C67:H67)</f>
        <v>0.15101613736097352</v>
      </c>
    </row>
    <row r="75" spans="1:8" ht="15" customHeight="1" x14ac:dyDescent="0.2">
      <c r="A75" s="1" t="s">
        <v>102</v>
      </c>
    </row>
    <row r="77" spans="1:8" ht="15" customHeight="1" x14ac:dyDescent="0.2">
      <c r="B77" s="9" t="s">
        <v>103</v>
      </c>
      <c r="C77" s="11" t="s">
        <v>104</v>
      </c>
      <c r="D77" s="11" t="s">
        <v>105</v>
      </c>
      <c r="E77" s="11" t="s">
        <v>106</v>
      </c>
    </row>
    <row r="78" spans="1:8" ht="15" customHeight="1" x14ac:dyDescent="0.2">
      <c r="B78" s="2" t="s">
        <v>107</v>
      </c>
      <c r="C78" s="4">
        <v>0.02</v>
      </c>
      <c r="D78" s="4">
        <v>0.05</v>
      </c>
      <c r="E78" s="4">
        <v>0.01</v>
      </c>
    </row>
    <row r="79" spans="1:8" ht="15" customHeight="1" x14ac:dyDescent="0.2">
      <c r="B79" s="2" t="s">
        <v>11</v>
      </c>
      <c r="C79" s="4">
        <v>0.03</v>
      </c>
      <c r="D79" s="4">
        <v>0.02</v>
      </c>
      <c r="E79" s="4">
        <v>0.04</v>
      </c>
    </row>
    <row r="80" spans="1:8" ht="15" customHeight="1" x14ac:dyDescent="0.2">
      <c r="B80" s="2" t="s">
        <v>108</v>
      </c>
      <c r="C80" s="4">
        <v>0.1</v>
      </c>
      <c r="D80" s="4">
        <v>0.1</v>
      </c>
      <c r="E80" s="4">
        <v>0.1</v>
      </c>
    </row>
    <row r="82" spans="2:7" ht="15" customHeight="1" x14ac:dyDescent="0.2">
      <c r="B82" s="1" t="s">
        <v>109</v>
      </c>
    </row>
    <row r="83" spans="2:7" ht="15" customHeight="1" x14ac:dyDescent="0.2">
      <c r="C83" s="11" t="s">
        <v>45</v>
      </c>
      <c r="D83" s="11" t="s">
        <v>46</v>
      </c>
      <c r="E83" s="11" t="s">
        <v>47</v>
      </c>
      <c r="F83" s="11" t="s">
        <v>48</v>
      </c>
      <c r="G83" s="11" t="s">
        <v>49</v>
      </c>
    </row>
    <row r="84" spans="2:7" ht="15" customHeight="1" x14ac:dyDescent="0.2">
      <c r="B84" s="2" t="s">
        <v>110</v>
      </c>
      <c r="C84" s="12">
        <f>Assumptions!C11</f>
        <v>1700000</v>
      </c>
      <c r="D84" s="12">
        <f>C84*(1+$C$78)</f>
        <v>1734000</v>
      </c>
      <c r="E84" s="12">
        <f>D84*(1+$C$78)</f>
        <v>1768680</v>
      </c>
      <c r="F84" s="12">
        <f>E84*(1+$C$78)</f>
        <v>1804053.6</v>
      </c>
      <c r="G84" s="12">
        <f>F84*(1+$C$78)</f>
        <v>1840134.672</v>
      </c>
    </row>
    <row r="85" spans="2:7" ht="15" customHeight="1" x14ac:dyDescent="0.2">
      <c r="B85" s="2" t="s">
        <v>111</v>
      </c>
      <c r="C85" s="12">
        <f>-(C84*Assumptions!$C$13)</f>
        <v>-204000</v>
      </c>
      <c r="D85" s="12">
        <f>-(D84*Assumptions!$C$13)</f>
        <v>-208080</v>
      </c>
      <c r="E85" s="12">
        <f>-(E84*Assumptions!$C$13)</f>
        <v>-212241.6</v>
      </c>
      <c r="F85" s="12">
        <f>-(F84*Assumptions!$C$13)</f>
        <v>-216486.432</v>
      </c>
      <c r="G85" s="12">
        <f>-(G84*Assumptions!$C$13)</f>
        <v>-220816.16063999999</v>
      </c>
    </row>
    <row r="86" spans="2:7" ht="15" customHeight="1" x14ac:dyDescent="0.2">
      <c r="B86" s="10" t="s">
        <v>112</v>
      </c>
      <c r="C86" s="13">
        <f>C84+C85</f>
        <v>1496000</v>
      </c>
      <c r="D86" s="13">
        <f>D84+D85</f>
        <v>1525920</v>
      </c>
      <c r="E86" s="13">
        <f>E84+E85</f>
        <v>1556438.4</v>
      </c>
      <c r="F86" s="13">
        <f>F84+F85</f>
        <v>1587567.1680000001</v>
      </c>
      <c r="G86" s="13">
        <f>G84+G85</f>
        <v>1619318.5113600001</v>
      </c>
    </row>
    <row r="87" spans="2:7" ht="15" customHeight="1" x14ac:dyDescent="0.2">
      <c r="B87" s="2" t="s">
        <v>53</v>
      </c>
      <c r="C87" s="12">
        <f>-(C86*Assumptions!$C$14)</f>
        <v>-598400</v>
      </c>
      <c r="D87" s="12">
        <f>C87*(1+$C$79)</f>
        <v>-616352</v>
      </c>
      <c r="E87" s="12">
        <f>D87*(1+$C$79)</f>
        <v>-634842.56000000006</v>
      </c>
      <c r="F87" s="12">
        <f>E87*(1+$C$79)</f>
        <v>-653887.83680000005</v>
      </c>
      <c r="G87" s="12">
        <f>F87*(1+$C$79)</f>
        <v>-673504.47190400003</v>
      </c>
    </row>
    <row r="88" spans="2:7" ht="15" customHeight="1" x14ac:dyDescent="0.2">
      <c r="B88" s="2" t="s">
        <v>113</v>
      </c>
      <c r="C88" s="12">
        <f>-(C86*Assumptions!$C$16)</f>
        <v>-74800</v>
      </c>
      <c r="D88" s="12">
        <f>C88*(1+Assumptions!$C$17)</f>
        <v>-75548</v>
      </c>
      <c r="E88" s="12">
        <f>D88*(1+Assumptions!$C$17)</f>
        <v>-76303.48</v>
      </c>
      <c r="F88" s="12">
        <f>E88*(1+Assumptions!$C$17)</f>
        <v>-77066.51479999999</v>
      </c>
      <c r="G88" s="12">
        <f>F88*(1+Assumptions!$C$17)</f>
        <v>-77837.17994799999</v>
      </c>
    </row>
    <row r="89" spans="2:7" ht="15" customHeight="1" x14ac:dyDescent="0.2">
      <c r="B89" s="10" t="s">
        <v>114</v>
      </c>
      <c r="C89" s="13">
        <f>C86+C87+C88</f>
        <v>822800</v>
      </c>
      <c r="D89" s="13">
        <f>D86+D87+D88</f>
        <v>834020</v>
      </c>
      <c r="E89" s="13">
        <f>E86+E87+E88</f>
        <v>845292.35999999987</v>
      </c>
      <c r="F89" s="13">
        <f>F86+F87+F88</f>
        <v>856612.81640000001</v>
      </c>
      <c r="G89" s="13">
        <f>G86+G87+G88</f>
        <v>867976.85950800008</v>
      </c>
    </row>
    <row r="90" spans="2:7" ht="15" customHeight="1" x14ac:dyDescent="0.2">
      <c r="B90" s="2" t="s">
        <v>56</v>
      </c>
      <c r="C90" s="12">
        <f>-Assumptions!$C$42</f>
        <v>-503622.44112831191</v>
      </c>
      <c r="D90" s="12">
        <f>-Assumptions!$C$42</f>
        <v>-503622.44112831191</v>
      </c>
      <c r="E90" s="12">
        <f>-Assumptions!$C$42</f>
        <v>-503622.44112831191</v>
      </c>
      <c r="F90" s="12">
        <f>-Assumptions!$C$42</f>
        <v>-503622.44112831191</v>
      </c>
      <c r="G90" s="12">
        <f>-Assumptions!$C$42</f>
        <v>-503622.44112831191</v>
      </c>
    </row>
    <row r="91" spans="2:7" ht="15" customHeight="1" x14ac:dyDescent="0.2">
      <c r="B91" s="10" t="s">
        <v>115</v>
      </c>
      <c r="C91" s="13">
        <f>C89+C90</f>
        <v>319177.55887168809</v>
      </c>
      <c r="D91" s="13">
        <f>D89+D90</f>
        <v>330397.55887168809</v>
      </c>
      <c r="E91" s="13">
        <f>E89+E90</f>
        <v>341669.91887168796</v>
      </c>
      <c r="F91" s="13">
        <f>F89+F90</f>
        <v>352990.3752716881</v>
      </c>
      <c r="G91" s="13">
        <f>G89+G90</f>
        <v>364354.41837968817</v>
      </c>
    </row>
    <row r="92" spans="2:7" ht="15" customHeight="1" x14ac:dyDescent="0.2">
      <c r="B92" s="2" t="s">
        <v>116</v>
      </c>
      <c r="C92" s="12">
        <f>Amortization!D4</f>
        <v>417661.62126894505</v>
      </c>
      <c r="D92" s="12">
        <f>Amortization!D5</f>
        <v>412359.74599394039</v>
      </c>
      <c r="E92" s="12">
        <f>Amortization!D6</f>
        <v>406730.86265319609</v>
      </c>
      <c r="F92" s="12">
        <f>Amortization!D7</f>
        <v>400754.80210475367</v>
      </c>
      <c r="G92" s="12">
        <f>Amortization!D8</f>
        <v>394410.15121811372</v>
      </c>
    </row>
    <row r="93" spans="2:7" ht="15" customHeight="1" x14ac:dyDescent="0.2">
      <c r="B93" s="2" t="s">
        <v>66</v>
      </c>
      <c r="C93" s="12">
        <f>C89+(-C88)-Assumptions!$C$37-C92-Assumptions!$C$44</f>
        <v>270143.50693618314</v>
      </c>
      <c r="D93" s="12">
        <f>D89+(-D88)-Assumptions!$C$37-D92-Assumptions!$C$44</f>
        <v>287413.3822111878</v>
      </c>
      <c r="E93" s="12">
        <f>E89+(-E88)-Assumptions!$C$37-E92-Assumptions!$C$44</f>
        <v>305070.10555193195</v>
      </c>
      <c r="F93" s="12">
        <f>F89+(-F88)-Assumptions!$C$37-F92-Assumptions!$C$44</f>
        <v>323129.65730037453</v>
      </c>
      <c r="G93" s="12">
        <f>G89+(-G88)-Assumptions!$C$37-G92-(Assumptions!$C$43-Assumptions!$C$44*4)</f>
        <v>224942.34977634792</v>
      </c>
    </row>
    <row r="94" spans="2:7" ht="15" customHeight="1" x14ac:dyDescent="0.2">
      <c r="B94" s="2" t="s">
        <v>67</v>
      </c>
      <c r="C94" s="12">
        <f>C93*Assumptions!$C$26</f>
        <v>81043.052080854934</v>
      </c>
      <c r="D94" s="12">
        <f>D93*Assumptions!$C$26</f>
        <v>86224.014663356342</v>
      </c>
      <c r="E94" s="12">
        <f>E93*Assumptions!$C$26</f>
        <v>91521.031665579576</v>
      </c>
      <c r="F94" s="12">
        <f>F93*Assumptions!$C$26</f>
        <v>96938.897190112359</v>
      </c>
      <c r="G94" s="12">
        <f>G93*Assumptions!$C$26</f>
        <v>67482.70493290438</v>
      </c>
    </row>
    <row r="95" spans="2:7" ht="15" customHeight="1" x14ac:dyDescent="0.2">
      <c r="B95" s="10" t="s">
        <v>117</v>
      </c>
      <c r="C95" s="13">
        <f>C91-C94</f>
        <v>238134.50679083314</v>
      </c>
      <c r="D95" s="13">
        <f>D91-D94</f>
        <v>244173.54420833173</v>
      </c>
      <c r="E95" s="13">
        <f>E91-E94</f>
        <v>250148.88720610837</v>
      </c>
      <c r="F95" s="13">
        <f>F91-F94</f>
        <v>256051.47808157574</v>
      </c>
      <c r="G95" s="13">
        <f>G91-G94</f>
        <v>296871.71344678377</v>
      </c>
    </row>
    <row r="96" spans="2:7" ht="15" customHeight="1" x14ac:dyDescent="0.2">
      <c r="B96" s="2" t="s">
        <v>118</v>
      </c>
      <c r="C96" s="12">
        <f>-(SUM(C88:G88))</f>
        <v>381555.17474799999</v>
      </c>
    </row>
    <row r="97" spans="2:8" ht="15" customHeight="1" x14ac:dyDescent="0.2">
      <c r="B97" s="2" t="s">
        <v>77</v>
      </c>
      <c r="C97" s="12">
        <f>Assumptions!C4+C96-(Assumptions!C37*Assumptions!C7)</f>
        <v>9355914.1491069738</v>
      </c>
    </row>
    <row r="98" spans="2:8" ht="15" customHeight="1" x14ac:dyDescent="0.2">
      <c r="B98" s="2" t="s">
        <v>119</v>
      </c>
      <c r="C98" s="12">
        <f>C44-C97</f>
        <v>2164085.8508930262</v>
      </c>
    </row>
    <row r="99" spans="2:8" ht="15" customHeight="1" x14ac:dyDescent="0.2">
      <c r="B99" s="2" t="s">
        <v>120</v>
      </c>
      <c r="C99" s="12">
        <f>Assumptions!C37*Assumptions!C7</f>
        <v>1025641.0256410256</v>
      </c>
    </row>
    <row r="100" spans="2:8" ht="15" customHeight="1" x14ac:dyDescent="0.2">
      <c r="B100" s="2" t="s">
        <v>121</v>
      </c>
      <c r="C100" s="12">
        <f>C98-C99</f>
        <v>1138444.8252520007</v>
      </c>
    </row>
    <row r="101" spans="2:8" ht="15" customHeight="1" x14ac:dyDescent="0.2">
      <c r="B101" s="2" t="s">
        <v>122</v>
      </c>
      <c r="C101" s="12">
        <f>C100*Assumptions!C27+C99*Assumptions!C28</f>
        <v>375894.92891600518</v>
      </c>
    </row>
    <row r="102" spans="2:8" ht="15" customHeight="1" x14ac:dyDescent="0.2">
      <c r="B102" s="10" t="s">
        <v>123</v>
      </c>
      <c r="C102" s="13">
        <f>C44-Amortization!F8-C101</f>
        <v>4630300.0934866052</v>
      </c>
    </row>
    <row r="103" spans="2:8" ht="15" customHeight="1" x14ac:dyDescent="0.2">
      <c r="B103" s="10" t="s">
        <v>97</v>
      </c>
      <c r="C103" s="14">
        <f>-Assumptions!C45</f>
        <v>-3140000</v>
      </c>
      <c r="D103" s="14">
        <f>C95</f>
        <v>238134.50679083314</v>
      </c>
      <c r="E103" s="14">
        <f>D95</f>
        <v>244173.54420833173</v>
      </c>
      <c r="F103" s="14">
        <f>E95</f>
        <v>250148.88720610837</v>
      </c>
      <c r="G103" s="14">
        <f>F95</f>
        <v>256051.47808157574</v>
      </c>
      <c r="H103" s="13">
        <f>G95+C102</f>
        <v>4927171.806933389</v>
      </c>
    </row>
    <row r="104" spans="2:8" ht="15" customHeight="1" x14ac:dyDescent="0.2">
      <c r="B104" s="10" t="s">
        <v>124</v>
      </c>
      <c r="C104" s="14">
        <f>NPV(C80,D103:H103)+C103</f>
        <v>700495.43627562653</v>
      </c>
    </row>
    <row r="106" spans="2:8" ht="15" customHeight="1" x14ac:dyDescent="0.2">
      <c r="B106" s="1" t="s">
        <v>125</v>
      </c>
    </row>
    <row r="107" spans="2:8" ht="15" customHeight="1" x14ac:dyDescent="0.2">
      <c r="C107" s="11" t="s">
        <v>45</v>
      </c>
      <c r="D107" s="11" t="s">
        <v>46</v>
      </c>
      <c r="E107" s="11" t="s">
        <v>47</v>
      </c>
      <c r="F107" s="11" t="s">
        <v>48</v>
      </c>
      <c r="G107" s="11" t="s">
        <v>49</v>
      </c>
    </row>
    <row r="108" spans="2:8" ht="15" customHeight="1" x14ac:dyDescent="0.2">
      <c r="B108" s="2" t="s">
        <v>110</v>
      </c>
      <c r="C108" s="12">
        <f>Assumptions!C11</f>
        <v>1700000</v>
      </c>
      <c r="D108" s="12">
        <f>C108*(1+$D$78)</f>
        <v>1785000</v>
      </c>
      <c r="E108" s="12">
        <f>D108*(1+$D$78)</f>
        <v>1874250</v>
      </c>
      <c r="F108" s="12">
        <f>E108*(1+$D$78)</f>
        <v>1967962.5</v>
      </c>
      <c r="G108" s="12">
        <f>F108*(1+$D$78)</f>
        <v>2066360.625</v>
      </c>
    </row>
    <row r="109" spans="2:8" ht="15" customHeight="1" x14ac:dyDescent="0.2">
      <c r="B109" s="2" t="s">
        <v>111</v>
      </c>
      <c r="C109" s="12">
        <f>-(C108*Assumptions!$C$13)</f>
        <v>-204000</v>
      </c>
      <c r="D109" s="12">
        <f>-(D108*Assumptions!$C$13)</f>
        <v>-214200</v>
      </c>
      <c r="E109" s="12">
        <f>-(E108*Assumptions!$C$13)</f>
        <v>-224910</v>
      </c>
      <c r="F109" s="12">
        <f>-(F108*Assumptions!$C$13)</f>
        <v>-236155.5</v>
      </c>
      <c r="G109" s="12">
        <f>-(G108*Assumptions!$C$13)</f>
        <v>-247963.27499999999</v>
      </c>
    </row>
    <row r="110" spans="2:8" ht="15" customHeight="1" x14ac:dyDescent="0.2">
      <c r="B110" s="10" t="s">
        <v>112</v>
      </c>
      <c r="C110" s="13">
        <f>C108+C109</f>
        <v>1496000</v>
      </c>
      <c r="D110" s="13">
        <f>D108+D109</f>
        <v>1570800</v>
      </c>
      <c r="E110" s="13">
        <f>E108+E109</f>
        <v>1649340</v>
      </c>
      <c r="F110" s="13">
        <f>F108+F109</f>
        <v>1731807</v>
      </c>
      <c r="G110" s="13">
        <f>G108+G109</f>
        <v>1818397.35</v>
      </c>
    </row>
    <row r="111" spans="2:8" ht="15" customHeight="1" x14ac:dyDescent="0.2">
      <c r="B111" s="2" t="s">
        <v>53</v>
      </c>
      <c r="C111" s="12">
        <f>-(C110*Assumptions!$C$14)</f>
        <v>-598400</v>
      </c>
      <c r="D111" s="12">
        <f>C111*(1+$D$79)</f>
        <v>-610368</v>
      </c>
      <c r="E111" s="12">
        <f>D111*(1+$D$79)</f>
        <v>-622575.35999999999</v>
      </c>
      <c r="F111" s="12">
        <f>E111*(1+$D$79)</f>
        <v>-635026.86719999998</v>
      </c>
      <c r="G111" s="12">
        <f>F111*(1+$D$79)</f>
        <v>-647727.40454399993</v>
      </c>
    </row>
    <row r="112" spans="2:8" ht="15" customHeight="1" x14ac:dyDescent="0.2">
      <c r="B112" s="2" t="s">
        <v>113</v>
      </c>
      <c r="C112" s="12">
        <f>-(C110*Assumptions!$C$16)</f>
        <v>-74800</v>
      </c>
      <c r="D112" s="12">
        <f>C112*(1+Assumptions!$C$17)</f>
        <v>-75548</v>
      </c>
      <c r="E112" s="12">
        <f>D112*(1+Assumptions!$C$17)</f>
        <v>-76303.48</v>
      </c>
      <c r="F112" s="12">
        <f>E112*(1+Assumptions!$C$17)</f>
        <v>-77066.51479999999</v>
      </c>
      <c r="G112" s="12">
        <f>F112*(1+Assumptions!$C$17)</f>
        <v>-77837.17994799999</v>
      </c>
    </row>
    <row r="113" spans="2:8" ht="15" customHeight="1" x14ac:dyDescent="0.2">
      <c r="B113" s="10" t="s">
        <v>114</v>
      </c>
      <c r="C113" s="13">
        <f>C110+C111+C112</f>
        <v>822800</v>
      </c>
      <c r="D113" s="13">
        <f>D110+D111+D112</f>
        <v>884884</v>
      </c>
      <c r="E113" s="13">
        <f>E110+E111+E112</f>
        <v>950461.16</v>
      </c>
      <c r="F113" s="13">
        <f>F110+F111+F112</f>
        <v>1019713.618</v>
      </c>
      <c r="G113" s="13">
        <f>G110+G111+G112</f>
        <v>1092832.765508</v>
      </c>
    </row>
    <row r="114" spans="2:8" ht="15" customHeight="1" x14ac:dyDescent="0.2">
      <c r="B114" s="2" t="s">
        <v>56</v>
      </c>
      <c r="C114" s="12">
        <f>-Assumptions!$C$42</f>
        <v>-503622.44112831191</v>
      </c>
      <c r="D114" s="12">
        <f>-Assumptions!$C$42</f>
        <v>-503622.44112831191</v>
      </c>
      <c r="E114" s="12">
        <f>-Assumptions!$C$42</f>
        <v>-503622.44112831191</v>
      </c>
      <c r="F114" s="12">
        <f>-Assumptions!$C$42</f>
        <v>-503622.44112831191</v>
      </c>
      <c r="G114" s="12">
        <f>-Assumptions!$C$42</f>
        <v>-503622.44112831191</v>
      </c>
    </row>
    <row r="115" spans="2:8" ht="15" customHeight="1" x14ac:dyDescent="0.2">
      <c r="B115" s="10" t="s">
        <v>115</v>
      </c>
      <c r="C115" s="13">
        <f>C113+C114</f>
        <v>319177.55887168809</v>
      </c>
      <c r="D115" s="13">
        <f>D113+D114</f>
        <v>381261.55887168809</v>
      </c>
      <c r="E115" s="13">
        <f>E113+E114</f>
        <v>446838.71887168812</v>
      </c>
      <c r="F115" s="13">
        <f>F113+F114</f>
        <v>516091.17687168811</v>
      </c>
      <c r="G115" s="13">
        <f>G113+G114</f>
        <v>589210.32437968813</v>
      </c>
    </row>
    <row r="116" spans="2:8" ht="15" customHeight="1" x14ac:dyDescent="0.2">
      <c r="B116" s="2" t="s">
        <v>116</v>
      </c>
      <c r="C116" s="12">
        <f>Amortization!D4</f>
        <v>417661.62126894505</v>
      </c>
      <c r="D116" s="12">
        <f>Amortization!D5</f>
        <v>412359.74599394039</v>
      </c>
      <c r="E116" s="12">
        <f>Amortization!D6</f>
        <v>406730.86265319609</v>
      </c>
      <c r="F116" s="12">
        <f>Amortization!D7</f>
        <v>400754.80210475367</v>
      </c>
      <c r="G116" s="12">
        <f>Amortization!D8</f>
        <v>394410.15121811372</v>
      </c>
    </row>
    <row r="117" spans="2:8" ht="15" customHeight="1" x14ac:dyDescent="0.2">
      <c r="B117" s="2" t="s">
        <v>66</v>
      </c>
      <c r="C117" s="12">
        <f>C113+(-C112)-Assumptions!$C$37-C116-Assumptions!$C$44</f>
        <v>270143.50693618314</v>
      </c>
      <c r="D117" s="12">
        <f>D113+(-D112)-Assumptions!$C$37-D116-Assumptions!$C$44</f>
        <v>338277.3822111878</v>
      </c>
      <c r="E117" s="12">
        <f>E113+(-E112)-Assumptions!$C$37-E116-Assumptions!$C$44</f>
        <v>410238.90555193211</v>
      </c>
      <c r="F117" s="12">
        <f>F113+(-F112)-Assumptions!$C$37-F116-Assumptions!$C$44</f>
        <v>486230.45890037454</v>
      </c>
      <c r="G117" s="12">
        <f>G113+(-G112)-Assumptions!$C$37-G116-(Assumptions!$C$43-Assumptions!$C$44*4)</f>
        <v>449798.25577634788</v>
      </c>
    </row>
    <row r="118" spans="2:8" ht="15" customHeight="1" x14ac:dyDescent="0.2">
      <c r="B118" s="2" t="s">
        <v>67</v>
      </c>
      <c r="C118" s="12">
        <f>C117*Assumptions!$C$26</f>
        <v>81043.052080854934</v>
      </c>
      <c r="D118" s="12">
        <f>D117*Assumptions!$C$26</f>
        <v>101483.21466335634</v>
      </c>
      <c r="E118" s="12">
        <f>E117*Assumptions!$C$26</f>
        <v>123071.67166557963</v>
      </c>
      <c r="F118" s="12">
        <f>F117*Assumptions!$C$26</f>
        <v>145869.13767011237</v>
      </c>
      <c r="G118" s="12">
        <f>G117*Assumptions!$C$26</f>
        <v>134939.47673290435</v>
      </c>
    </row>
    <row r="119" spans="2:8" ht="15" customHeight="1" x14ac:dyDescent="0.2">
      <c r="B119" s="10" t="s">
        <v>117</v>
      </c>
      <c r="C119" s="13">
        <f>C115-C118</f>
        <v>238134.50679083314</v>
      </c>
      <c r="D119" s="13">
        <f>D115-D118</f>
        <v>279778.34420833178</v>
      </c>
      <c r="E119" s="13">
        <f>E115-E118</f>
        <v>323767.04720610846</v>
      </c>
      <c r="F119" s="13">
        <f>F115-F118</f>
        <v>370222.03920157574</v>
      </c>
      <c r="G119" s="13">
        <f>G115-G118</f>
        <v>454270.8476467838</v>
      </c>
    </row>
    <row r="120" spans="2:8" ht="15" customHeight="1" x14ac:dyDescent="0.2">
      <c r="B120" s="2" t="s">
        <v>118</v>
      </c>
      <c r="C120" s="12">
        <f>-(SUM(C112:G112))</f>
        <v>381555.17474799999</v>
      </c>
    </row>
    <row r="121" spans="2:8" ht="15" customHeight="1" x14ac:dyDescent="0.2">
      <c r="B121" s="2" t="s">
        <v>77</v>
      </c>
      <c r="C121" s="12">
        <f>Assumptions!C4+C120-(Assumptions!C37*Assumptions!C7)</f>
        <v>9355914.1491069738</v>
      </c>
    </row>
    <row r="122" spans="2:8" ht="15" customHeight="1" x14ac:dyDescent="0.2">
      <c r="B122" s="2" t="s">
        <v>119</v>
      </c>
      <c r="C122" s="12">
        <f>C44-C121</f>
        <v>2164085.8508930262</v>
      </c>
    </row>
    <row r="123" spans="2:8" ht="15" customHeight="1" x14ac:dyDescent="0.2">
      <c r="B123" s="2" t="s">
        <v>120</v>
      </c>
      <c r="C123" s="12">
        <f>Assumptions!C37*Assumptions!C7</f>
        <v>1025641.0256410256</v>
      </c>
    </row>
    <row r="124" spans="2:8" ht="15" customHeight="1" x14ac:dyDescent="0.2">
      <c r="B124" s="2" t="s">
        <v>121</v>
      </c>
      <c r="C124" s="12">
        <f>C122-C123</f>
        <v>1138444.8252520007</v>
      </c>
    </row>
    <row r="125" spans="2:8" ht="15" customHeight="1" x14ac:dyDescent="0.2">
      <c r="B125" s="2" t="s">
        <v>122</v>
      </c>
      <c r="C125" s="12">
        <f>C124*Assumptions!C27+C123*Assumptions!C28</f>
        <v>375894.92891600518</v>
      </c>
    </row>
    <row r="126" spans="2:8" ht="15" customHeight="1" x14ac:dyDescent="0.2">
      <c r="B126" s="10" t="s">
        <v>123</v>
      </c>
      <c r="C126" s="13">
        <f>C44-Amortization!F8-C125</f>
        <v>4630300.0934866052</v>
      </c>
    </row>
    <row r="127" spans="2:8" ht="15" customHeight="1" x14ac:dyDescent="0.2">
      <c r="B127" s="10" t="s">
        <v>97</v>
      </c>
      <c r="C127" s="14">
        <f>-Assumptions!C45</f>
        <v>-3140000</v>
      </c>
      <c r="D127" s="14">
        <f>C119</f>
        <v>238134.50679083314</v>
      </c>
      <c r="E127" s="14">
        <f>D119</f>
        <v>279778.34420833178</v>
      </c>
      <c r="F127" s="14">
        <f>E119</f>
        <v>323767.04720610846</v>
      </c>
      <c r="G127" s="14">
        <f>F119</f>
        <v>370222.03920157574</v>
      </c>
      <c r="H127" s="13">
        <f>G119+C126</f>
        <v>5084570.9411333892</v>
      </c>
    </row>
    <row r="128" spans="2:8" ht="15" customHeight="1" x14ac:dyDescent="0.2">
      <c r="B128" s="10" t="s">
        <v>124</v>
      </c>
      <c r="C128" s="14">
        <f>NPV(D80,D127:H127)+C127</f>
        <v>960943.81215159176</v>
      </c>
    </row>
    <row r="130" spans="2:7" ht="15" customHeight="1" x14ac:dyDescent="0.2">
      <c r="B130" s="1" t="s">
        <v>126</v>
      </c>
    </row>
    <row r="131" spans="2:7" ht="15" customHeight="1" x14ac:dyDescent="0.2">
      <c r="C131" s="11" t="s">
        <v>45</v>
      </c>
      <c r="D131" s="11" t="s">
        <v>46</v>
      </c>
      <c r="E131" s="11" t="s">
        <v>47</v>
      </c>
      <c r="F131" s="11" t="s">
        <v>48</v>
      </c>
      <c r="G131" s="11" t="s">
        <v>49</v>
      </c>
    </row>
    <row r="132" spans="2:7" ht="15" customHeight="1" x14ac:dyDescent="0.2">
      <c r="B132" s="2" t="s">
        <v>110</v>
      </c>
      <c r="C132" s="12">
        <f>Assumptions!C11</f>
        <v>1700000</v>
      </c>
      <c r="D132" s="12">
        <f>C132*(1+$E$78)</f>
        <v>1717000</v>
      </c>
      <c r="E132" s="12">
        <f>D132*(1+$E$78)</f>
        <v>1734170</v>
      </c>
      <c r="F132" s="12">
        <f>E132*(1+$E$78)</f>
        <v>1751511.7</v>
      </c>
      <c r="G132" s="12">
        <f>F132*(1+$E$78)</f>
        <v>1769026.817</v>
      </c>
    </row>
    <row r="133" spans="2:7" ht="15" customHeight="1" x14ac:dyDescent="0.2">
      <c r="B133" s="2" t="s">
        <v>111</v>
      </c>
      <c r="C133" s="12">
        <f>-(C132*Assumptions!$C$13)</f>
        <v>-204000</v>
      </c>
      <c r="D133" s="12">
        <f>-(D132*Assumptions!$C$13)</f>
        <v>-206040</v>
      </c>
      <c r="E133" s="12">
        <f>-(E132*Assumptions!$C$13)</f>
        <v>-208100.4</v>
      </c>
      <c r="F133" s="12">
        <f>-(F132*Assumptions!$C$13)</f>
        <v>-210181.40399999998</v>
      </c>
      <c r="G133" s="12">
        <f>-(G132*Assumptions!$C$13)</f>
        <v>-212283.21804000001</v>
      </c>
    </row>
    <row r="134" spans="2:7" ht="15" customHeight="1" x14ac:dyDescent="0.2">
      <c r="B134" s="10" t="s">
        <v>112</v>
      </c>
      <c r="C134" s="13">
        <f>C132+C133</f>
        <v>1496000</v>
      </c>
      <c r="D134" s="13">
        <f>D132+D133</f>
        <v>1510960</v>
      </c>
      <c r="E134" s="13">
        <f>E132+E133</f>
        <v>1526069.6</v>
      </c>
      <c r="F134" s="13">
        <f>F132+F133</f>
        <v>1541330.2960000001</v>
      </c>
      <c r="G134" s="13">
        <f>G132+G133</f>
        <v>1556743.5989600001</v>
      </c>
    </row>
    <row r="135" spans="2:7" ht="15" customHeight="1" x14ac:dyDescent="0.2">
      <c r="B135" s="2" t="s">
        <v>53</v>
      </c>
      <c r="C135" s="12">
        <f>-(C134*Assumptions!$C$14)</f>
        <v>-598400</v>
      </c>
      <c r="D135" s="12">
        <f>C135*(1+$E$79)</f>
        <v>-622336</v>
      </c>
      <c r="E135" s="12">
        <f>D135*(1+$E$79)</f>
        <v>-647229.44000000006</v>
      </c>
      <c r="F135" s="12">
        <f>E135*(1+$E$79)</f>
        <v>-673118.61760000011</v>
      </c>
      <c r="G135" s="12">
        <f>F135*(1+$E$79)</f>
        <v>-700043.36230400018</v>
      </c>
    </row>
    <row r="136" spans="2:7" ht="15" customHeight="1" x14ac:dyDescent="0.2">
      <c r="B136" s="2" t="s">
        <v>113</v>
      </c>
      <c r="C136" s="12">
        <f>-(C134*Assumptions!$C$16)</f>
        <v>-74800</v>
      </c>
      <c r="D136" s="12">
        <f>C136*(1+Assumptions!$C$17)</f>
        <v>-75548</v>
      </c>
      <c r="E136" s="12">
        <f>D136*(1+Assumptions!$C$17)</f>
        <v>-76303.48</v>
      </c>
      <c r="F136" s="12">
        <f>E136*(1+Assumptions!$C$17)</f>
        <v>-77066.51479999999</v>
      </c>
      <c r="G136" s="12">
        <f>F136*(1+Assumptions!$C$17)</f>
        <v>-77837.17994799999</v>
      </c>
    </row>
    <row r="137" spans="2:7" ht="15" customHeight="1" x14ac:dyDescent="0.2">
      <c r="B137" s="10" t="s">
        <v>114</v>
      </c>
      <c r="C137" s="13">
        <f>C134+C135+C136</f>
        <v>822800</v>
      </c>
      <c r="D137" s="13">
        <f>D134+D135+D136</f>
        <v>813076</v>
      </c>
      <c r="E137" s="13">
        <f>E134+E135+E136</f>
        <v>802536.68</v>
      </c>
      <c r="F137" s="13">
        <f>F134+F135+F136</f>
        <v>791145.16359999997</v>
      </c>
      <c r="G137" s="13">
        <f>G134+G135+G136</f>
        <v>778863.0567079999</v>
      </c>
    </row>
    <row r="138" spans="2:7" ht="15" customHeight="1" x14ac:dyDescent="0.2">
      <c r="B138" s="2" t="s">
        <v>56</v>
      </c>
      <c r="C138" s="12">
        <f>-Assumptions!$C$42</f>
        <v>-503622.44112831191</v>
      </c>
      <c r="D138" s="12">
        <f>-Assumptions!$C$42</f>
        <v>-503622.44112831191</v>
      </c>
      <c r="E138" s="12">
        <f>-Assumptions!$C$42</f>
        <v>-503622.44112831191</v>
      </c>
      <c r="F138" s="12">
        <f>-Assumptions!$C$42</f>
        <v>-503622.44112831191</v>
      </c>
      <c r="G138" s="12">
        <f>-Assumptions!$C$42</f>
        <v>-503622.44112831191</v>
      </c>
    </row>
    <row r="139" spans="2:7" ht="15" customHeight="1" x14ac:dyDescent="0.2">
      <c r="B139" s="10" t="s">
        <v>115</v>
      </c>
      <c r="C139" s="13">
        <f>C137+C138</f>
        <v>319177.55887168809</v>
      </c>
      <c r="D139" s="13">
        <f>D137+D138</f>
        <v>309453.55887168809</v>
      </c>
      <c r="E139" s="13">
        <f>E137+E138</f>
        <v>298914.23887168814</v>
      </c>
      <c r="F139" s="13">
        <f>F137+F138</f>
        <v>287522.72247168806</v>
      </c>
      <c r="G139" s="13">
        <f>G137+G138</f>
        <v>275240.61557968799</v>
      </c>
    </row>
    <row r="140" spans="2:7" ht="15" customHeight="1" x14ac:dyDescent="0.2">
      <c r="B140" s="2" t="s">
        <v>116</v>
      </c>
      <c r="C140" s="12">
        <f>Amortization!D4</f>
        <v>417661.62126894505</v>
      </c>
      <c r="D140" s="12">
        <f>Amortization!D5</f>
        <v>412359.74599394039</v>
      </c>
      <c r="E140" s="12">
        <f>Amortization!D6</f>
        <v>406730.86265319609</v>
      </c>
      <c r="F140" s="12">
        <f>Amortization!D7</f>
        <v>400754.80210475367</v>
      </c>
      <c r="G140" s="12">
        <f>Amortization!D8</f>
        <v>394410.15121811372</v>
      </c>
    </row>
    <row r="141" spans="2:7" ht="15" customHeight="1" x14ac:dyDescent="0.2">
      <c r="B141" s="2" t="s">
        <v>66</v>
      </c>
      <c r="C141" s="12">
        <f>C137+(-C136)-Assumptions!$C$37-C140-Assumptions!$C$44</f>
        <v>270143.50693618314</v>
      </c>
      <c r="D141" s="12">
        <f>D137+(-D136)-Assumptions!$C$37-D140-Assumptions!$C$44</f>
        <v>266469.3822111878</v>
      </c>
      <c r="E141" s="12">
        <f>E137+(-E136)-Assumptions!$C$37-E140-Assumptions!$C$44</f>
        <v>262314.42555193213</v>
      </c>
      <c r="F141" s="12">
        <f>F137+(-F136)-Assumptions!$C$37-F140-Assumptions!$C$44</f>
        <v>257662.00450037452</v>
      </c>
      <c r="G141" s="12">
        <f>G137+(-G136)-Assumptions!$C$37-G140-(Assumptions!$C$43-Assumptions!$C$44*4)</f>
        <v>135828.54697634774</v>
      </c>
    </row>
    <row r="142" spans="2:7" ht="15" customHeight="1" x14ac:dyDescent="0.2">
      <c r="B142" s="2" t="s">
        <v>67</v>
      </c>
      <c r="C142" s="12">
        <f>C141*Assumptions!$C$26</f>
        <v>81043.052080854934</v>
      </c>
      <c r="D142" s="12">
        <f>D141*Assumptions!$C$26</f>
        <v>79940.81466335633</v>
      </c>
      <c r="E142" s="12">
        <f>E141*Assumptions!$C$26</f>
        <v>78694.327665579636</v>
      </c>
      <c r="F142" s="12">
        <f>F141*Assumptions!$C$26</f>
        <v>77298.601350112353</v>
      </c>
      <c r="G142" s="12">
        <f>G141*Assumptions!$C$26</f>
        <v>40748.564092904322</v>
      </c>
    </row>
    <row r="143" spans="2:7" ht="15" customHeight="1" x14ac:dyDescent="0.2">
      <c r="B143" s="10" t="s">
        <v>117</v>
      </c>
      <c r="C143" s="13">
        <f>C139-C142</f>
        <v>238134.50679083314</v>
      </c>
      <c r="D143" s="13">
        <f>D139-D142</f>
        <v>229512.74420833174</v>
      </c>
      <c r="E143" s="13">
        <f>E139-E142</f>
        <v>220219.91120610852</v>
      </c>
      <c r="F143" s="13">
        <f>F139-F142</f>
        <v>210224.12112157571</v>
      </c>
      <c r="G143" s="13">
        <f>G139-G142</f>
        <v>234492.05148678366</v>
      </c>
    </row>
    <row r="144" spans="2:7" ht="15" customHeight="1" x14ac:dyDescent="0.2">
      <c r="B144" s="2" t="s">
        <v>118</v>
      </c>
      <c r="C144" s="12">
        <f>-(SUM(C136:G136))</f>
        <v>381555.17474799999</v>
      </c>
    </row>
    <row r="145" spans="2:8" ht="15" customHeight="1" x14ac:dyDescent="0.2">
      <c r="B145" s="2" t="s">
        <v>77</v>
      </c>
      <c r="C145" s="12">
        <f>Assumptions!C4+C144-(Assumptions!C37*Assumptions!C7)</f>
        <v>9355914.1491069738</v>
      </c>
    </row>
    <row r="146" spans="2:8" ht="15" customHeight="1" x14ac:dyDescent="0.2">
      <c r="B146" s="2" t="s">
        <v>119</v>
      </c>
      <c r="C146" s="12">
        <f>C44-C145</f>
        <v>2164085.8508930262</v>
      </c>
    </row>
    <row r="147" spans="2:8" ht="15" customHeight="1" x14ac:dyDescent="0.2">
      <c r="B147" s="2" t="s">
        <v>120</v>
      </c>
      <c r="C147" s="12">
        <f>Assumptions!C37*Assumptions!C7</f>
        <v>1025641.0256410256</v>
      </c>
    </row>
    <row r="148" spans="2:8" ht="15" customHeight="1" x14ac:dyDescent="0.2">
      <c r="B148" s="2" t="s">
        <v>121</v>
      </c>
      <c r="C148" s="12">
        <f>C146-C147</f>
        <v>1138444.8252520007</v>
      </c>
    </row>
    <row r="149" spans="2:8" ht="15" customHeight="1" x14ac:dyDescent="0.2">
      <c r="B149" s="2" t="s">
        <v>122</v>
      </c>
      <c r="C149" s="12">
        <f>C148*Assumptions!C27+C147*Assumptions!C28</f>
        <v>375894.92891600518</v>
      </c>
    </row>
    <row r="150" spans="2:8" ht="15" customHeight="1" x14ac:dyDescent="0.2">
      <c r="B150" s="10" t="s">
        <v>123</v>
      </c>
      <c r="C150" s="13">
        <f>C44-Amortization!F8-C149</f>
        <v>4630300.0934866052</v>
      </c>
    </row>
    <row r="151" spans="2:8" ht="15" customHeight="1" x14ac:dyDescent="0.2">
      <c r="B151" s="10" t="s">
        <v>97</v>
      </c>
      <c r="C151" s="14">
        <f>-Assumptions!C45</f>
        <v>-3140000</v>
      </c>
      <c r="D151" s="14">
        <f>C143</f>
        <v>238134.50679083314</v>
      </c>
      <c r="E151" s="14">
        <f>D143</f>
        <v>229512.74420833174</v>
      </c>
      <c r="F151" s="14">
        <f>E143</f>
        <v>220219.91120610852</v>
      </c>
      <c r="G151" s="14">
        <f>F143</f>
        <v>210224.12112157571</v>
      </c>
      <c r="H151" s="13">
        <f>G143+C150</f>
        <v>4864792.1449733889</v>
      </c>
    </row>
    <row r="152" spans="2:8" ht="15" customHeight="1" x14ac:dyDescent="0.2">
      <c r="B152" s="10" t="s">
        <v>124</v>
      </c>
      <c r="C152" s="14">
        <f>NPV(E80,D151:H151)+C151</f>
        <v>595859.42633095058</v>
      </c>
    </row>
    <row r="154" spans="2:8" ht="15" customHeight="1" x14ac:dyDescent="0.2">
      <c r="B154" s="1" t="s">
        <v>127</v>
      </c>
    </row>
    <row r="156" spans="2:8" ht="15" customHeight="1" x14ac:dyDescent="0.2">
      <c r="B156" s="9"/>
      <c r="C156" s="11" t="s">
        <v>104</v>
      </c>
      <c r="D156" s="11" t="s">
        <v>105</v>
      </c>
      <c r="E156" s="11" t="s">
        <v>106</v>
      </c>
    </row>
    <row r="157" spans="2:8" ht="15" customHeight="1" x14ac:dyDescent="0.2">
      <c r="B157" s="10" t="s">
        <v>128</v>
      </c>
      <c r="C157" s="13">
        <f>C104</f>
        <v>700495.43627562653</v>
      </c>
      <c r="D157" s="13">
        <f>C128</f>
        <v>960943.81215159176</v>
      </c>
      <c r="E157" s="13">
        <f>C152</f>
        <v>595859.42633095058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Assumptions</vt:lpstr>
      <vt:lpstr>Amortization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Talati,Shyam</cp:lastModifiedBy>
  <cp:revision>0</cp:revision>
  <dcterms:created xsi:type="dcterms:W3CDTF">2026-02-23T03:23:45Z</dcterms:created>
  <dcterms:modified xsi:type="dcterms:W3CDTF">2026-02-23T03:28:29Z</dcterms:modified>
  <dc:language>en-US</dc:language>
</cp:coreProperties>
</file>